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ila Martinez.AMA-CC-PC01\Desktop\"/>
    </mc:Choice>
  </mc:AlternateContent>
  <bookViews>
    <workbookView xWindow="0" yWindow="0" windowWidth="28800" windowHeight="12300"/>
  </bookViews>
  <sheets>
    <sheet name="PRESUPUESTO SIN PRECIO" sheetId="1" r:id="rId1"/>
  </sheets>
  <definedNames>
    <definedName name="_xlnm.Print_Area" localSheetId="0">'PRESUPUESTO SIN PRECIO'!$A$1:$G$160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9" i="1" l="1"/>
  <c r="C146" i="1"/>
  <c r="C143" i="1"/>
  <c r="C142" i="1"/>
  <c r="C141" i="1"/>
  <c r="C140" i="1"/>
  <c r="C139" i="1"/>
  <c r="C138" i="1"/>
  <c r="C137" i="1"/>
  <c r="C136" i="1"/>
  <c r="C135" i="1"/>
  <c r="C134" i="1"/>
  <c r="C133" i="1"/>
  <c r="A133" i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C132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A112" i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C111" i="1"/>
  <c r="C108" i="1"/>
  <c r="C107" i="1"/>
  <c r="C106" i="1"/>
  <c r="C105" i="1"/>
  <c r="C104" i="1"/>
  <c r="C103" i="1"/>
  <c r="C102" i="1"/>
  <c r="C101" i="1"/>
  <c r="C100" i="1"/>
  <c r="C99" i="1"/>
  <c r="C98" i="1"/>
  <c r="A98" i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C97" i="1"/>
  <c r="C94" i="1"/>
  <c r="C93" i="1"/>
  <c r="C92" i="1"/>
  <c r="C91" i="1"/>
  <c r="C90" i="1"/>
  <c r="C89" i="1"/>
  <c r="C88" i="1"/>
  <c r="C87" i="1"/>
  <c r="C86" i="1"/>
  <c r="C85" i="1"/>
  <c r="C84" i="1"/>
  <c r="A84" i="1"/>
  <c r="A85" i="1" s="1"/>
  <c r="A86" i="1" s="1"/>
  <c r="A87" i="1" s="1"/>
  <c r="A88" i="1" s="1"/>
  <c r="A89" i="1" s="1"/>
  <c r="A90" i="1" s="1"/>
  <c r="A91" i="1" s="1"/>
  <c r="A92" i="1" s="1"/>
  <c r="A93" i="1" s="1"/>
  <c r="C83" i="1"/>
  <c r="C80" i="1"/>
  <c r="C79" i="1"/>
  <c r="C78" i="1"/>
  <c r="C77" i="1"/>
  <c r="C76" i="1"/>
  <c r="C75" i="1"/>
  <c r="C74" i="1"/>
  <c r="C73" i="1"/>
  <c r="C72" i="1"/>
  <c r="C71" i="1"/>
  <c r="C70" i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C69" i="1"/>
  <c r="C66" i="1"/>
  <c r="C65" i="1"/>
  <c r="C64" i="1"/>
  <c r="C63" i="1"/>
  <c r="C62" i="1"/>
  <c r="C61" i="1"/>
  <c r="C60" i="1"/>
  <c r="C59" i="1"/>
  <c r="C58" i="1"/>
  <c r="C57" i="1"/>
  <c r="C56" i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C55" i="1"/>
  <c r="C52" i="1"/>
  <c r="C51" i="1"/>
  <c r="C50" i="1"/>
  <c r="C49" i="1"/>
  <c r="C48" i="1"/>
  <c r="C47" i="1"/>
  <c r="A47" i="1"/>
  <c r="A48" i="1" s="1"/>
  <c r="A49" i="1" s="1"/>
  <c r="A50" i="1" s="1"/>
  <c r="A51" i="1" s="1"/>
  <c r="A52" i="1" s="1"/>
  <c r="C46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C23" i="1"/>
  <c r="C160" i="1" l="1"/>
  <c r="A156" i="1"/>
  <c r="A157" i="1" s="1"/>
  <c r="A158" i="1" s="1"/>
  <c r="A159" i="1" s="1"/>
</calcChain>
</file>

<file path=xl/sharedStrings.xml><?xml version="1.0" encoding="utf-8"?>
<sst xmlns="http://schemas.openxmlformats.org/spreadsheetml/2006/main" count="291" uniqueCount="179">
  <si>
    <t>Ayuntamiento Municipal de los Alcarrizos  (AMA)</t>
  </si>
  <si>
    <t>Productivo, Participativo y Solidario</t>
  </si>
  <si>
    <t xml:space="preserve">Dirección de Planeamiento Urbano e Infraestructura Municipal (DPUIM) </t>
  </si>
  <si>
    <t>Departamento de Análisis, Costos y Presupuestos</t>
  </si>
  <si>
    <t>Proyecto:</t>
  </si>
  <si>
    <t>CODIGO:</t>
  </si>
  <si>
    <t>Región:</t>
  </si>
  <si>
    <t>Norte III</t>
  </si>
  <si>
    <t>DISEÑADO POR:</t>
  </si>
  <si>
    <t xml:space="preserve"> D.P.U.I.M</t>
  </si>
  <si>
    <t>Área Esq.:</t>
  </si>
  <si>
    <t>Barrio Progreso 1-B</t>
  </si>
  <si>
    <t>Ancho</t>
  </si>
  <si>
    <t>Definitivo</t>
  </si>
  <si>
    <t>Fecha:</t>
  </si>
  <si>
    <t>Perímetro</t>
  </si>
  <si>
    <t>ml</t>
  </si>
  <si>
    <t>Desde</t>
  </si>
  <si>
    <t>Long.</t>
  </si>
  <si>
    <t>N/D</t>
  </si>
  <si>
    <t>Hasta</t>
  </si>
  <si>
    <t>Coordenada Norte</t>
  </si>
  <si>
    <t>Coordenada Este</t>
  </si>
  <si>
    <t>N°</t>
  </si>
  <si>
    <t>PARTIDAS</t>
  </si>
  <si>
    <t>CANT.</t>
  </si>
  <si>
    <t>U</t>
  </si>
  <si>
    <t>P. U.</t>
  </si>
  <si>
    <t>I</t>
  </si>
  <si>
    <t>PRELIMINARES</t>
  </si>
  <si>
    <t>Valla informativa de obra 9x5 pie (El cuerpo) colocado a una altura  de  7 pie en adelante.</t>
  </si>
  <si>
    <t>UD</t>
  </si>
  <si>
    <t>II</t>
  </si>
  <si>
    <t>MOVIMIENTO DE TIERRA</t>
  </si>
  <si>
    <t>M3</t>
  </si>
  <si>
    <t>Excavación de contenes en el peatón 3 desde la C/Rojas Alou hasta el final (47.4*0.45*0.10)*2</t>
  </si>
  <si>
    <t>Excavación de aceras en el peatón 3 desde la C/Rojas Alou hasta el final (47.4*1*0.10)*2</t>
  </si>
  <si>
    <t>Excavación de contenes en la C/San Juan desde respaldo Cruz Jiminian hasta el final  (40.9*0.45*0.10)*2</t>
  </si>
  <si>
    <t>Excavación de contenes en la C/Respaldo Cruz Jiminian desde cañada Trujillo hasta C/Rojas Alou (157.4*0.45*0.10)*2</t>
  </si>
  <si>
    <t>Excavación de contenes en la C/Teniente Amado desde C/Respaldo Cruz Jiminian hasta el final(57.1*0.45*0.10)*2</t>
  </si>
  <si>
    <t>Excavación de contenes en la C/La paz desde C/Rojas Alou hasta la cañada(76.4*0.45*0.10)*2</t>
  </si>
  <si>
    <t>Excavación de acera en la C/La paz desde C/Rojas Alou hasta la cañada(76.4*1*0.10)*2</t>
  </si>
  <si>
    <t>Excavación de  contenes en el peatón el tío desde C/Cruz Jiminian hasta el final(32.6*0.45*0.10)*2</t>
  </si>
  <si>
    <t>Excavación de contenes en el peatón la Gloria desde C/Rojas Alou hasta el final(40*0.45*0.10)*2</t>
  </si>
  <si>
    <t>Excavación de acera en el peatón la Gloria desde C/Rojas Alou hasta el final(40*1*0.10)*2</t>
  </si>
  <si>
    <t>Excavación de contenes en el peatón  1 desde C/Rojas Alou hasta el final (79.9*0.45*0.10)*2</t>
  </si>
  <si>
    <t>Excavación de acera en el peatón  1 desde C/Rojas Alou hasta el final (79.9*1*0.10)*2</t>
  </si>
  <si>
    <t>Excavación de contenes en la C/Respaldo primera desde la C/Cruz Jiminian hasta la C/primera (98.5*0.45*0.10)*2</t>
  </si>
  <si>
    <t>Excavación de acera en la C/Respaldo primera desde la C/Cruz Jiminian hasta la C/primera (98.5*1*0.10)*2</t>
  </si>
  <si>
    <t>Excavación de aceras  en la C/Rojas alov desde la C/Carretera Hato Nuevo hasta la C/Puerto Rico(722.1*1*0.10)*2</t>
  </si>
  <si>
    <t>Excavación  de contenes  en la C/Rojas alov desde la C/Carretera Hato Nuevo hasta la C/Puerto Rico(722.1*0.45*0.10)*2</t>
  </si>
  <si>
    <t>Excavación para la muros de gaviones con Retro-excavadora en la C/Rojas Alou desde la C/33 de Gregorio Reyes hasta la esquina del colmado Marisol(30*2*0.20)</t>
  </si>
  <si>
    <t>Hr</t>
  </si>
  <si>
    <t>III</t>
  </si>
  <si>
    <t>RELLENO SUMINISTRO Y COMPACTACION DE MATERIAL(CALICHE)</t>
  </si>
  <si>
    <t>Relleno para  acera en el peatón 3 desde la C/Rojas Alou hasta el final (47.4*1*0.10)*2</t>
  </si>
  <si>
    <t>Relleno para  acera en la C/Respaldo Cruz Jiminian desde cañada Trujillo hasta C/Rojas Alou (157.4*1*0.10)*2</t>
  </si>
  <si>
    <t>Relleno para  acera  en la C/La paz desde C/Rojas Alou hasta la cañada(76.4*1*0.10)*2</t>
  </si>
  <si>
    <t>Relleno para  acera  en el peatón la Gloria desde C/Rojas Alou hasta el final(40*1*0.10)*2</t>
  </si>
  <si>
    <t>Relleno para  acera  en el peatón  1 desde C/Rojas Alou hasta el final (79.9*1*0.10)*2</t>
  </si>
  <si>
    <t>Relleno para  acera  en la C/Respaldo primera desde la C/Cruz Jiminian hasta la C/primera (98.5*1*0.10)*2</t>
  </si>
  <si>
    <t>Relleno para  acera en la C/Rojas alov desde la C/Carretera Hato Nuevo hasta la C/Puerto Rico(722.1*1*0.10)*2</t>
  </si>
  <si>
    <t>IV</t>
  </si>
  <si>
    <t xml:space="preserve"> TELFORD PARA CONTEN </t>
  </si>
  <si>
    <t>Telford para  contenes   en el peatón L desde la C/Rojas hasta la cañada   (52.3*0.45*0.10)*2</t>
  </si>
  <si>
    <t>Telford para  contenes  en el peatón 3 desde la C/Rojas Alou hasta el final (47.4*0.45*0.10)*2</t>
  </si>
  <si>
    <t>Telford para  contenes en la C/San Juan desde respaldo Cruz Jiminian hasta el final  (40.9*0.45*0.10)*2</t>
  </si>
  <si>
    <t>Telford para  contenes en la C/Respaldo Jiminian desde cañada Trujillo hasta C/Rojas Alou (157.4*0.45*0.10)*2</t>
  </si>
  <si>
    <t>Telford para  contenes en la C/Teniente Amado desde C/Respaldo Cruz Jiminian hasta el final (57.1*0.45*0.10)*2</t>
  </si>
  <si>
    <t>Telford para  contenes en la C/La paz desde C/Rojas Alou hasta la cañada(76.4*0.45*0.10)*2</t>
  </si>
  <si>
    <t>Telford para  contenes en el peatón la Gloria desde C/Rojas Alou hasta el final(40*0.45*0.10)*2</t>
  </si>
  <si>
    <t>Telford para  contenes en el peatón  1 desde C/Rojas Alou hasta el final (79.90.45*0.10)*2</t>
  </si>
  <si>
    <t>Telford para  contenes en la C/Respaldo primera desde la C/Cruz Jiminian hasta la C/primera (98.5*0.45*0.10)*2</t>
  </si>
  <si>
    <t>Telford para  contenes  en la C/Rojas alov desde la C/Carretera Hato Nuevo hasta la C/Puerto Rico(722.1*0.45*0.10)*2</t>
  </si>
  <si>
    <t>V</t>
  </si>
  <si>
    <t>CORTE DE TERRENO</t>
  </si>
  <si>
    <t>Corte de terreno  en el peatón L desde la C/Rojas hasta la cañada   (52.3*4.5*0.15)</t>
  </si>
  <si>
    <t>Corte de terreno en el peatón 3 desde la C/Rojas Alou hasta el final (47.4*6*0.15)</t>
  </si>
  <si>
    <t>Corte de terreno  en la C/San Juan desde respaldo Cruz Jiminian hasta el final  (40.9*3.3*0.15)</t>
  </si>
  <si>
    <t>Corte de terreno  en la C/Respaldo Jiminian desde cañada Trujillo hasta C/Rojas Alou (157.4*7*0.15)</t>
  </si>
  <si>
    <t>Corte de terreno  en la C/La esperanza desde C/Cruz Jiminian hasta el final (45.3*5.5*0.15)</t>
  </si>
  <si>
    <t>Corte de terreno   en la C/La paz desde C/Rojas Alou hasta la cañada(76.4*7*0.15)</t>
  </si>
  <si>
    <t>Corte de terreno   en el peatón el tío desde C/Cruz Jiminian hasta el final(32.6*5*0.15)</t>
  </si>
  <si>
    <t>Corte de terreno  en el peatón la Gloria desde C/Rojas Alou hasta el final(40*7*0.15)</t>
  </si>
  <si>
    <t>Corte de terreno  en el peatón  1 desde C/Rojas Alou hasta el final (79.9*5.5*0.15)</t>
  </si>
  <si>
    <t>Corte de terreno  en la C/Respaldo primera desde la C/Cruz Jiminian hasta la C/primera (98.5*6*0.15)</t>
  </si>
  <si>
    <t>Corte de terreno en la C/Rojas alov desde la C/Carretera Hato Nuevo hasta la C/Puerto Rico(722.1*7*0.15)</t>
  </si>
  <si>
    <t>VI</t>
  </si>
  <si>
    <t>RELLENO DE CALLE</t>
  </si>
  <si>
    <t>Regado, Nivelado y Compactado Relleno de material con Granzote de la calle en el peatón L desde la C/Rojas hasta la cañada   (50*4.5*0.15)</t>
  </si>
  <si>
    <t>Regado, Nivelado y Compactado Relleno de material con Granzote de la calle en el peatón 3 desde la C/Rojas Alou hasta el final (40*6*0.15)</t>
  </si>
  <si>
    <t>Regado, Nivelado y Compactado Relleno de material con Granzote de la calle  en la C/San Juan desde respaldo Cruz Jiminian hasta el final  (40*3.3*0.15)</t>
  </si>
  <si>
    <t>Regado, Nivelado y Compactado Relleno de material con Granzote de la calle  en la C/Respaldo  Cruz Jiminian desde cañada Trujillo hasta C/Rojas Alou (100*7*0.15)</t>
  </si>
  <si>
    <t>Regado, Nivelado y Compactado Relleno de material con Granzote de la calle  en la C/La esperanza desde C/Cruz Jiminian hasta el final (45.3*5.5*0.15)</t>
  </si>
  <si>
    <t>Regado, Nivelado y Compactado Relleno de material con Granzote de la calle  en la C/Teniente Amado desde C/Respaldo Cruz Jiminian hasta el final (57.1*5*0.15)</t>
  </si>
  <si>
    <t>Regado, Nivelado y Compactado Relleno de material con Granzote de la calle  en la C/La paz desde C/Rojas Alou hasta la cañada(64*7*0.15)</t>
  </si>
  <si>
    <t>Regado, Nivelado y Compactado Relleno de material con Granzote de la calle  en el peatón la Gloria desde C/Rojas Alou hasta el final(40*7*0.15)</t>
  </si>
  <si>
    <t>Regado, Nivelado y Compactado Relleno de material con Granzote de la calle  en el peatón  1 desde C/Rojas Alou hasta el final (70*5.5*0.15)</t>
  </si>
  <si>
    <t>Regado, Nivelado y Compactado Relleno de material con Granzote de la calle  en la C/Respaldo primera desde la C/Cruz Jiminian hasta la C/primera (82*6*0.15)</t>
  </si>
  <si>
    <t>VII</t>
  </si>
  <si>
    <t xml:space="preserve">CARGA Y BOTE DE MATERIAL INSERVIBLE </t>
  </si>
  <si>
    <t>Carga y  bote de material inservible en el peatón L desde la C/Rojas hasta la cañada   (52.3*4.5*0.15)+(52.3*.45*0.10)*2</t>
  </si>
  <si>
    <t>Carga y  bote de material inservible en el peatón 3 desde la C/Rojas Alou hasta el final (47.4*6*0.15)+(47.4*1*0.10)*2+(47.4*0.45*0.10)*2</t>
  </si>
  <si>
    <t>Carga y  bote de material inservible  en la C/San Juan desde respaldo Cruz Jiminian hasta el final  (40.9*0.45*0.10)*2+(40.9*3.5*0.15)</t>
  </si>
  <si>
    <t>Carga y  bote de material inservible   en la C/Respaldo  Cruz Jiminian desde cañada Trujillo hasta C/Rojas Alou (157.4*7*0.15)*2+(157.4*0.45*0.10)*2+(157.4*1*0.10)*2</t>
  </si>
  <si>
    <t>Carga y  bote de material inservible  en la C/La esperanza desde C/Cruz Jiminian hasta el final (45.3*5.5*0.15)+(45.3*0.45*0.15)</t>
  </si>
  <si>
    <t>Carga y  bote de material inservible   en la C/Teniente Amado desde C/Respaldo Cruz Jiminian hasta el final (57.1*5*0.15)+(57.1*0.45*0.10)*2</t>
  </si>
  <si>
    <t>Carga y  bote de material inservible   en la C/La paz desde C/Rojas Alou hasta la cañada(76.4*7*0.15)+(76.4*1*0.10)*2+(76.4*0.45*0.10)*2</t>
  </si>
  <si>
    <t>Carga y  bote de material inservible   en el peatón el tío desde C/Cruz Ji minian hasta el final(32.6*5*0.15)+(32.6*0.45*0.10)*2</t>
  </si>
  <si>
    <t>Carga y  bote de material inservible   en el peatón la Gloria desde C/Rojas Alou hasta el final(40*7*0.15)+(40*0.45*0.10)*2+(40*1*0.10)*2</t>
  </si>
  <si>
    <t>Carga y  bote de material inservible   en el peatón  1 desde C/Rojas Alou hasta el final (30*5.5*0.15)+(30*0.45*0.1)*2+(30*1*0.1)*2</t>
  </si>
  <si>
    <t>Carga y  bote de material inservible   en la C/Respaldo primera desde la C/Cruz Jiminian hasta la C/primera ((90.1*6*0.15)+(90.1*0.45*0.1)*2+(90.1*1*0.1)*2</t>
  </si>
  <si>
    <t>Carga y  bote de material inservible  en la C/Rojas alov desde la C/Carretera Hato Nuevo hasta la C/Puerto Rico(722.1*7*0.15)+(722.1*1*0.10)*2+(722.1*0.45*0.10)*2</t>
  </si>
  <si>
    <t>VIII</t>
  </si>
  <si>
    <t>HORMIGON SIMPLE</t>
  </si>
  <si>
    <t>Construcción de contén con hormigón industrial 180 kg/Cm2  en el peatón L desde la C/Rojas hasta la cañada   (52.3)*2</t>
  </si>
  <si>
    <t>ML</t>
  </si>
  <si>
    <t>Construcción de contén con hormigón industrial 180 kg/Cm2  en el peatón 3 desde la C/Rojas Alou hasta el final (47.4)*2</t>
  </si>
  <si>
    <t>Construcción de contén con hormigón industrial 180 kg/Cm2   en la C/San Juan desde respaldo Cruz Jiminian hasta el final  (40.9)*2</t>
  </si>
  <si>
    <t>Construcción de contén con hormigón industrial 180 kg/Cm2 en la C/Respaldo Jiminian desde cañada Trujillo hasta C/Rojas Alou (157.4)*2</t>
  </si>
  <si>
    <t>Construcción de contén con hormigón industrial 180 kg/Cm2 en la C/La esperanza desde C/Cruz Ji minian hasta el final (45.3)*2</t>
  </si>
  <si>
    <t>Construcción de contén con hormigón industrial 180 kg/Cm2   en el peatón el tío desde C/Cruz Jiminian hasta el final(32.6)*2</t>
  </si>
  <si>
    <t>Construcción de contén con hormigón industrial 180 kg/Cm2  en la C/Teniente Amado desde C/Respaldo Cruz Ji minian hasta el final (57.1)*2</t>
  </si>
  <si>
    <t>Construcción de contén con hormigón industrial 180 kg/Cm2   en la C/La paz desde C/Rojas Alou hasta la cañada(76.4)*2</t>
  </si>
  <si>
    <t>Construcción de contén con hormigón industrial 180 kg/Cm2  en el peatón la Gloria desde C/Rojas Alou hasta el final(40)*2</t>
  </si>
  <si>
    <t>Construcción de contén con hormigón industrial 180 kg/Cm2  en el peatón  1 desde C/Rojas Alou hasta el final (79.9)*2</t>
  </si>
  <si>
    <t>Construcción de contén con hormigón industrial 180 kg/Cm2  en la C/Respaldo primera desde la C/Cruz Jiminian hasta la C/primera (98.5)*2</t>
  </si>
  <si>
    <t>Construcción de contén con hormigón industrial 180 kg/Cm2   en la C/Rojas alov desde la C/Carretera Hato Nuevo hasta la C/Puerto Rico(722.1 )*2</t>
  </si>
  <si>
    <t>Construcción de acera  en el peatón 3 desde la C/Rojas Alou hasta el final (47.4*1)*2</t>
  </si>
  <si>
    <t>M2</t>
  </si>
  <si>
    <t>Construcción de acera en la C/Respaldo Ji minian desde cañada Trujillo hasta C/Rojas Alou  (157.4*1)*2</t>
  </si>
  <si>
    <t>Construcción de acera  en la C/La paz desde C/Rojas Alou hasta la cañada(76.4*1)*2</t>
  </si>
  <si>
    <t>Construcción de acera  en el peatón  1 desde C/Rojas Alou hasta el final (79.9*1)*2</t>
  </si>
  <si>
    <t>Construcción de acera  en la C/Respaldo primera desde la C/Cruz Jiminian hasta la C/primera (98.5*1)*2</t>
  </si>
  <si>
    <t>Construcción de acera  en la C/Rojas alov desde la C/Carretera Hato Nuevo hasta la C/Puerto Rico(722.1*1)*2</t>
  </si>
  <si>
    <t>IX</t>
  </si>
  <si>
    <t xml:space="preserve">IMPRIMACION ASFALTICA </t>
  </si>
  <si>
    <t>Imprimación @ 0.5 Gl/M2;  de la  calle en el peatón L desde la C/Rojas hasta la cañada   (52.3*4.5)</t>
  </si>
  <si>
    <t>Imprimación @ 0.5 Gl/M2;  de la  calle en el peatón 3 desde la C/Rojas Alou hasta el final (47.4*6)</t>
  </si>
  <si>
    <t>Imprimación @ 0.5 Gl/M2;  de la  calle en la C/San Juan desde respaldo Cruz Jiminian hasta el final  (40.9*3.3)</t>
  </si>
  <si>
    <t>Imprimación @ 0.5 Gl/M2;  de la  calle  en la C/Respaldo Jiminian desde cañada Trujillo hasta C/Rojas Alou  (157.4*7)</t>
  </si>
  <si>
    <t>Imprimación @ 0.5 Gl/M2;  de la  calle  en la C/La esperanza desde C/Cruz Jiminian hasta el final (45.3*5.5)</t>
  </si>
  <si>
    <t>Imprimación @ 0.5 Gl/M2;  de la  calle    en la C/Teniente Amado desde C/Respaldo Cruz Jiminian hasta el final (57.1*5)</t>
  </si>
  <si>
    <t>Imprimación @ 0.5 Gl/M2;  de la  calle     en la C/La paz desde C/Rojas Alou hasta la cañada(76.4*7)</t>
  </si>
  <si>
    <t>Imprimación @ 0.5 Gl/M2;  de la  calle     en el peatón el tío desde C/Cruz Ji minian hasta el final(32.6*5)</t>
  </si>
  <si>
    <t>Imprimación @ 0.5 Gl/M2;  de la  calle    en el peatón la Gloria desde C/Rojas Alou hasta el final(40*7)</t>
  </si>
  <si>
    <t>Imprimación @ 0.5 Gl/M2;  de la  calle      en el peatón  1 desde C/Rojas Alou hasta el final (79.9*5.5)</t>
  </si>
  <si>
    <t>Imprimación @ 0.5 Gl/M2;  de la  calle      en la C/Respaldo primera desde la C/Cruz Jiminian hasta la C/primera (98.5*5.5)</t>
  </si>
  <si>
    <t>X</t>
  </si>
  <si>
    <t xml:space="preserve">MUROS DE GAVIONES </t>
  </si>
  <si>
    <t>Construcción de muro de gaviones  en la C/Rojas Alou desde la C/33 de Gregorio Reyes hasta la esquina del colmado Marisol(30*2*2)</t>
  </si>
  <si>
    <t>XI</t>
  </si>
  <si>
    <t xml:space="preserve">HORMIGON ARMADO </t>
  </si>
  <si>
    <t>Construcción de badén transversal en la C/Rojas Alou esquina con C/Carretera Hato Nuevo (7*2)</t>
  </si>
  <si>
    <t>XII</t>
  </si>
  <si>
    <t>LIMPIEZA FINAL</t>
  </si>
  <si>
    <t>Limpieza final</t>
  </si>
  <si>
    <t>U.D</t>
  </si>
  <si>
    <t>B</t>
  </si>
  <si>
    <t>GASTOS INDIRECTOS:</t>
  </si>
  <si>
    <t>DIRECCIÓN TÉCNICA Y 
RESP. CIVIL.</t>
  </si>
  <si>
    <t>%</t>
  </si>
  <si>
    <t>GASTOS ADMINISTRATIVOS.</t>
  </si>
  <si>
    <t>SEGUROS Y FIANZAS.</t>
  </si>
  <si>
    <t>LIQUIDACIÓN Y PRESTS 
. LABORALES. Ley 686</t>
  </si>
  <si>
    <t>CODIA 1X1000  Ley 6160 de 1963 para 
el estado y sus dependencias</t>
  </si>
  <si>
    <r>
      <t xml:space="preserve">ITBIS (Sobre el 10% </t>
    </r>
    <r>
      <rPr>
        <b/>
        <i/>
        <sz val="11"/>
        <rFont val="Arial Narrow"/>
        <family val="2"/>
      </rPr>
      <t>Normas 
07-2007, Articulo 4-Parrafo I)</t>
    </r>
  </si>
  <si>
    <t>Excavación  de contenes  en el peatón L desde la C/Rojas Alou hasta la cañada   (52.3*0.45*0.10)*2</t>
  </si>
  <si>
    <t>Excavación de acera en la C/Respaldo CruzJiminian desde cañada Trujillo hasta C/Rojas Alou (157.4*1*0.10)*2</t>
  </si>
  <si>
    <t>Excavación de contenes en la C/La esperanza desde C/Cruz Jiminian hasta el final (45.3*0.45*0.10)*2</t>
  </si>
  <si>
    <t>Telford para  contenes en la C/La esperanza desde C/Cruz Ji minian hasta el final (45.3*0.45*0.10)*2</t>
  </si>
  <si>
    <t>Telford para  contenes en el peatón el tío desde C/Cruz Ji minian hasta el final(32.6*1*0.10)*2</t>
  </si>
  <si>
    <t>Corte de terreno   en la C/Teniente Amado desde C/Respaldo Cruz Ji minian hasta el final (57.1*5*0.15)</t>
  </si>
  <si>
    <t>Regado, Nivelado y Compactado Relleno de material con Granzote de la calle  en el peatón el tío desde C/Cruz Ji minian hasta el final(32.6*5*0.15)</t>
  </si>
  <si>
    <t>Regado, Nivelado y Compactado Relleno de material con Granzote de la calle en la C/Rojas alov desde la C/Carretera Hato Nuevo hasta la C/Puerto Rico(500.1*7*0.15)</t>
  </si>
  <si>
    <t>Construcción de acera en el peatón la Gloria desde C/Rojas Alou hasta el final40*1)*2</t>
  </si>
  <si>
    <t>Imprimación @ 0.5 Gl/M2;  de la  calle en la C/Rojas alov desde la C/Carretera Hato Nuevo hasta la C/Puerto Rico(514*7)</t>
  </si>
  <si>
    <t>AMA-IM0825-P038-M</t>
  </si>
  <si>
    <t>Construcción de muro de gaviones , acera, contén, badén, relleno e imprimación de calle en la C/Principal Rojas Alou y sus alrededores en el barrio progreso 1-B.  En la Región Norte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</si>
</sst>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100">
    <xf numFmtId="0" fontId="0" fillId="0" borderId="0" xfId="0"/>
    <xf numFmtId="165" fontId="2" fillId="0" borderId="0" xfId="0" applyNumberFormat="1" applyFont="1" applyAlignment="1">
      <alignment horizontal="left"/>
    </xf>
    <xf numFmtId="4" fontId="3" fillId="0" borderId="0" xfId="0" applyNumberFormat="1" applyFont="1" applyAlignment="1">
      <alignment vertical="center"/>
    </xf>
    <xf numFmtId="4" fontId="3" fillId="0" borderId="0" xfId="1" applyNumberFormat="1" applyFont="1" applyFill="1" applyAlignment="1">
      <alignment horizontal="right"/>
    </xf>
    <xf numFmtId="4" fontId="3" fillId="0" borderId="0" xfId="0" applyNumberFormat="1" applyFont="1" applyAlignment="1">
      <alignment horizontal="center"/>
    </xf>
    <xf numFmtId="164" fontId="3" fillId="0" borderId="0" xfId="1" applyFont="1" applyFill="1" applyAlignment="1"/>
    <xf numFmtId="164" fontId="3" fillId="0" borderId="0" xfId="1" applyFont="1" applyFill="1" applyAlignment="1">
      <alignment horizontal="right"/>
    </xf>
    <xf numFmtId="164" fontId="3" fillId="0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Continuous" vertical="center" wrapText="1"/>
    </xf>
    <xf numFmtId="4" fontId="5" fillId="0" borderId="0" xfId="1" applyNumberFormat="1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1" applyFont="1" applyFill="1" applyAlignment="1">
      <alignment horizontal="center"/>
    </xf>
    <xf numFmtId="0" fontId="3" fillId="0" borderId="1" xfId="3" applyFont="1" applyBorder="1" applyAlignment="1">
      <alignment horizontal="center" vertical="center" wrapText="1"/>
    </xf>
    <xf numFmtId="4" fontId="3" fillId="0" borderId="1" xfId="3" applyNumberFormat="1" applyFont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4" fontId="7" fillId="0" borderId="5" xfId="3" applyNumberFormat="1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4" fontId="3" fillId="0" borderId="5" xfId="3" applyNumberFormat="1" applyFont="1" applyBorder="1" applyAlignment="1">
      <alignment horizontal="center" vertical="center" wrapText="1"/>
    </xf>
    <xf numFmtId="4" fontId="3" fillId="0" borderId="5" xfId="3" applyNumberFormat="1" applyFont="1" applyBorder="1" applyAlignment="1">
      <alignment horizontal="center" wrapText="1"/>
    </xf>
    <xf numFmtId="0" fontId="3" fillId="0" borderId="5" xfId="3" applyFont="1" applyBorder="1" applyAlignment="1">
      <alignment horizontal="center" wrapText="1"/>
    </xf>
    <xf numFmtId="15" fontId="2" fillId="0" borderId="5" xfId="3" applyNumberFormat="1" applyFont="1" applyBorder="1" applyAlignment="1">
      <alignment horizontal="center" vertical="center" wrapText="1"/>
    </xf>
    <xf numFmtId="4" fontId="3" fillId="0" borderId="5" xfId="3" applyNumberFormat="1" applyFont="1" applyBorder="1" applyAlignment="1">
      <alignment horizontal="left" wrapText="1"/>
    </xf>
    <xf numFmtId="15" fontId="2" fillId="0" borderId="6" xfId="3" applyNumberFormat="1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4" fontId="2" fillId="0" borderId="8" xfId="3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Continuous" vertical="center" wrapText="1"/>
    </xf>
    <xf numFmtId="4" fontId="7" fillId="0" borderId="0" xfId="1" applyNumberFormat="1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164" fontId="7" fillId="0" borderId="0" xfId="1" applyFont="1" applyFill="1" applyBorder="1" applyAlignment="1">
      <alignment horizontal="center"/>
    </xf>
    <xf numFmtId="165" fontId="8" fillId="3" borderId="0" xfId="0" applyNumberFormat="1" applyFont="1" applyFill="1" applyAlignment="1">
      <alignment horizontal="center"/>
    </xf>
    <xf numFmtId="4" fontId="8" fillId="3" borderId="0" xfId="0" applyNumberFormat="1" applyFont="1" applyFill="1" applyAlignment="1">
      <alignment horizontal="center" vertical="center" wrapText="1"/>
    </xf>
    <xf numFmtId="4" fontId="8" fillId="3" borderId="0" xfId="1" applyNumberFormat="1" applyFont="1" applyFill="1" applyBorder="1" applyAlignment="1">
      <alignment horizontal="center"/>
    </xf>
    <xf numFmtId="4" fontId="8" fillId="3" borderId="0" xfId="0" applyNumberFormat="1" applyFont="1" applyFill="1" applyAlignment="1">
      <alignment horizontal="center"/>
    </xf>
    <xf numFmtId="4" fontId="9" fillId="4" borderId="5" xfId="0" applyNumberFormat="1" applyFont="1" applyFill="1" applyBorder="1" applyAlignment="1">
      <alignment horizontal="center"/>
    </xf>
    <xf numFmtId="4" fontId="10" fillId="0" borderId="5" xfId="4" applyNumberFormat="1" applyFont="1" applyBorder="1" applyAlignment="1">
      <alignment horizontal="center" wrapText="1"/>
    </xf>
    <xf numFmtId="0" fontId="10" fillId="0" borderId="5" xfId="4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left" wrapText="1"/>
    </xf>
    <xf numFmtId="4" fontId="12" fillId="0" borderId="5" xfId="1" applyNumberFormat="1" applyFont="1" applyFill="1" applyBorder="1" applyAlignment="1">
      <alignment horizontal="center"/>
    </xf>
    <xf numFmtId="4" fontId="12" fillId="5" borderId="5" xfId="0" applyNumberFormat="1" applyFont="1" applyFill="1" applyBorder="1" applyAlignment="1">
      <alignment horizontal="center"/>
    </xf>
    <xf numFmtId="4" fontId="12" fillId="5" borderId="5" xfId="1" applyNumberFormat="1" applyFont="1" applyFill="1" applyBorder="1" applyAlignment="1">
      <alignment horizontal="center"/>
    </xf>
    <xf numFmtId="4" fontId="3" fillId="5" borderId="5" xfId="4" applyNumberFormat="1" applyFont="1" applyFill="1" applyBorder="1" applyAlignment="1">
      <alignment horizontal="center" wrapText="1"/>
    </xf>
    <xf numFmtId="0" fontId="11" fillId="5" borderId="5" xfId="0" applyFont="1" applyFill="1" applyBorder="1" applyAlignment="1">
      <alignment horizontal="left" wrapText="1"/>
    </xf>
    <xf numFmtId="4" fontId="12" fillId="0" borderId="5" xfId="0" applyNumberFormat="1" applyFont="1" applyFill="1" applyBorder="1" applyAlignment="1">
      <alignment horizontal="center"/>
    </xf>
    <xf numFmtId="4" fontId="11" fillId="5" borderId="5" xfId="0" applyNumberFormat="1" applyFont="1" applyFill="1" applyBorder="1" applyAlignment="1">
      <alignment horizontal="center"/>
    </xf>
    <xf numFmtId="0" fontId="12" fillId="5" borderId="5" xfId="4" applyFont="1" applyFill="1" applyBorder="1" applyAlignment="1">
      <alignment horizontal="left" wrapText="1"/>
    </xf>
    <xf numFmtId="0" fontId="11" fillId="5" borderId="5" xfId="4" applyFont="1" applyFill="1" applyBorder="1" applyAlignment="1">
      <alignment horizontal="center" wrapText="1"/>
    </xf>
    <xf numFmtId="4" fontId="11" fillId="5" borderId="5" xfId="1" applyNumberFormat="1" applyFont="1" applyFill="1" applyBorder="1" applyAlignment="1">
      <alignment horizontal="center"/>
    </xf>
    <xf numFmtId="0" fontId="11" fillId="5" borderId="5" xfId="4" applyFont="1" applyFill="1" applyBorder="1" applyAlignment="1">
      <alignment horizontal="left" wrapText="1"/>
    </xf>
    <xf numFmtId="0" fontId="12" fillId="5" borderId="5" xfId="0" applyFont="1" applyFill="1" applyBorder="1" applyAlignment="1">
      <alignment horizontal="left" wrapText="1"/>
    </xf>
    <xf numFmtId="2" fontId="12" fillId="5" borderId="5" xfId="4" applyNumberFormat="1" applyFont="1" applyFill="1" applyBorder="1" applyAlignment="1">
      <alignment horizontal="center" wrapText="1"/>
    </xf>
    <xf numFmtId="4" fontId="12" fillId="5" borderId="5" xfId="4" applyNumberFormat="1" applyFont="1" applyFill="1" applyBorder="1" applyAlignment="1">
      <alignment horizontal="center" wrapText="1"/>
    </xf>
    <xf numFmtId="0" fontId="12" fillId="5" borderId="5" xfId="4" applyFont="1" applyFill="1" applyBorder="1" applyAlignment="1">
      <alignment horizontal="center" wrapText="1"/>
    </xf>
    <xf numFmtId="0" fontId="3" fillId="5" borderId="5" xfId="4" applyFont="1" applyFill="1" applyBorder="1" applyAlignment="1">
      <alignment horizontal="center" wrapText="1"/>
    </xf>
    <xf numFmtId="165" fontId="12" fillId="5" borderId="5" xfId="0" applyNumberFormat="1" applyFont="1" applyFill="1" applyBorder="1" applyAlignment="1">
      <alignment horizontal="center"/>
    </xf>
    <xf numFmtId="165" fontId="4" fillId="5" borderId="0" xfId="0" applyNumberFormat="1" applyFont="1" applyFill="1" applyAlignment="1">
      <alignment horizontal="center"/>
    </xf>
    <xf numFmtId="4" fontId="4" fillId="5" borderId="0" xfId="0" applyNumberFormat="1" applyFont="1" applyFill="1" applyAlignment="1">
      <alignment vertical="center"/>
    </xf>
    <xf numFmtId="4" fontId="3" fillId="5" borderId="0" xfId="1" applyNumberFormat="1" applyFont="1" applyFill="1" applyBorder="1" applyAlignment="1"/>
    <xf numFmtId="165" fontId="3" fillId="5" borderId="0" xfId="0" applyNumberFormat="1" applyFont="1" applyFill="1"/>
    <xf numFmtId="4" fontId="3" fillId="5" borderId="0" xfId="1" applyNumberFormat="1" applyFont="1" applyFill="1" applyBorder="1" applyAlignment="1">
      <alignment horizontal="center"/>
    </xf>
    <xf numFmtId="165" fontId="5" fillId="5" borderId="0" xfId="0" applyNumberFormat="1" applyFont="1" applyFill="1" applyAlignment="1">
      <alignment horizontal="center"/>
    </xf>
    <xf numFmtId="164" fontId="5" fillId="5" borderId="0" xfId="1" applyFont="1" applyFill="1" applyBorder="1" applyAlignment="1">
      <alignment vertical="center" wrapText="1"/>
    </xf>
    <xf numFmtId="4" fontId="5" fillId="5" borderId="0" xfId="2" applyNumberFormat="1" applyFont="1" applyFill="1" applyBorder="1" applyAlignment="1"/>
    <xf numFmtId="165" fontId="5" fillId="5" borderId="0" xfId="0" applyNumberFormat="1" applyFont="1" applyFill="1"/>
    <xf numFmtId="4" fontId="5" fillId="5" borderId="0" xfId="1" applyNumberFormat="1" applyFont="1" applyFill="1" applyBorder="1" applyAlignment="1">
      <alignment horizontal="center"/>
    </xf>
    <xf numFmtId="164" fontId="5" fillId="5" borderId="0" xfId="1" applyFont="1" applyFill="1" applyBorder="1" applyAlignment="1">
      <alignment vertical="center"/>
    </xf>
    <xf numFmtId="165" fontId="5" fillId="5" borderId="0" xfId="1" applyNumberFormat="1" applyFont="1" applyFill="1" applyBorder="1" applyAlignment="1">
      <alignment horizontal="center"/>
    </xf>
    <xf numFmtId="0" fontId="14" fillId="0" borderId="0" xfId="0" applyFont="1"/>
    <xf numFmtId="4" fontId="5" fillId="5" borderId="0" xfId="0" applyNumberFormat="1" applyFont="1" applyFill="1"/>
    <xf numFmtId="0" fontId="9" fillId="4" borderId="5" xfId="0" applyFont="1" applyFill="1" applyBorder="1" applyAlignment="1">
      <alignment horizontal="center" wrapText="1"/>
    </xf>
    <xf numFmtId="0" fontId="0" fillId="0" borderId="0" xfId="0" applyAlignment="1"/>
    <xf numFmtId="0" fontId="0" fillId="0" borderId="5" xfId="0" applyBorder="1" applyAlignment="1"/>
    <xf numFmtId="0" fontId="13" fillId="5" borderId="5" xfId="0" applyFont="1" applyFill="1" applyBorder="1" applyAlignment="1">
      <alignment horizontal="center" wrapText="1"/>
    </xf>
    <xf numFmtId="0" fontId="0" fillId="0" borderId="6" xfId="0" applyBorder="1" applyAlignment="1"/>
    <xf numFmtId="0" fontId="13" fillId="5" borderId="6" xfId="0" applyFont="1" applyFill="1" applyBorder="1" applyAlignment="1">
      <alignment horizontal="center" wrapText="1"/>
    </xf>
    <xf numFmtId="4" fontId="11" fillId="5" borderId="6" xfId="0" applyNumberFormat="1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 wrapText="1"/>
    </xf>
    <xf numFmtId="0" fontId="11" fillId="5" borderId="5" xfId="0" applyFont="1" applyFill="1" applyBorder="1" applyAlignment="1"/>
    <xf numFmtId="2" fontId="12" fillId="0" borderId="5" xfId="4" applyNumberFormat="1" applyFont="1" applyFill="1" applyBorder="1" applyAlignment="1">
      <alignment horizontal="center" wrapText="1"/>
    </xf>
    <xf numFmtId="0" fontId="12" fillId="5" borderId="5" xfId="0" applyFont="1" applyFill="1" applyBorder="1" applyAlignment="1"/>
    <xf numFmtId="164" fontId="3" fillId="0" borderId="0" xfId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5" xfId="3" applyNumberFormat="1" applyFont="1" applyFill="1" applyBorder="1" applyAlignment="1">
      <alignment horizontal="center" vertical="center" wrapText="1"/>
    </xf>
    <xf numFmtId="4" fontId="3" fillId="2" borderId="5" xfId="3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wrapText="1"/>
    </xf>
    <xf numFmtId="166" fontId="2" fillId="0" borderId="5" xfId="0" applyNumberFormat="1" applyFont="1" applyBorder="1" applyAlignment="1">
      <alignment horizontal="center" vertical="center" wrapText="1"/>
    </xf>
    <xf numFmtId="165" fontId="2" fillId="2" borderId="5" xfId="3" applyNumberFormat="1" applyFont="1" applyFill="1" applyBorder="1" applyAlignment="1">
      <alignment horizontal="center" wrapText="1"/>
    </xf>
  </cellXfs>
  <cellStyles count="5">
    <cellStyle name="Millares" xfId="1" builtinId="3"/>
    <cellStyle name="Normal" xfId="0" builtinId="0"/>
    <cellStyle name="Normal_Capellan Lebron" xfId="4"/>
    <cellStyle name="Normal_parque de la union1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1000</xdr:rowOff>
    </xdr:from>
    <xdr:to>
      <xdr:col>1</xdr:col>
      <xdr:colOff>590236</xdr:colOff>
      <xdr:row>6</xdr:row>
      <xdr:rowOff>49357</xdr:rowOff>
    </xdr:to>
    <xdr:pic>
      <xdr:nvPicPr>
        <xdr:cNvPr id="2" name="Imagen 1" descr="C:\Users\isabel ogando\AppData\Local\Packages\Microsoft.Windows.Photos_8wekyb3d8bbwe\TempState\ShareServiceTempFolder\logo ama 2024-2028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"/>
          <a:ext cx="1265645" cy="1295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1"/>
  <sheetViews>
    <sheetView tabSelected="1" view="pageBreakPreview" zoomScaleNormal="100" zoomScaleSheetLayoutView="100" workbookViewId="0">
      <selection activeCell="B9" sqref="B9:D9"/>
    </sheetView>
  </sheetViews>
  <sheetFormatPr baseColWidth="10" defaultRowHeight="15" x14ac:dyDescent="0.25"/>
  <cols>
    <col min="1" max="1" width="10.140625" customWidth="1"/>
    <col min="2" max="2" width="28" customWidth="1"/>
    <col min="3" max="3" width="11.85546875" customWidth="1"/>
    <col min="4" max="4" width="11.42578125" customWidth="1"/>
    <col min="5" max="5" width="10.85546875" customWidth="1"/>
    <col min="6" max="6" width="10.42578125" customWidth="1"/>
    <col min="7" max="7" width="9.85546875" customWidth="1"/>
  </cols>
  <sheetData>
    <row r="1" spans="1:7" ht="16.5" x14ac:dyDescent="0.3">
      <c r="A1" s="1"/>
      <c r="B1" s="2"/>
      <c r="C1" s="3"/>
      <c r="D1" s="4"/>
      <c r="E1" s="5"/>
      <c r="F1" s="6"/>
      <c r="G1" s="7"/>
    </row>
    <row r="2" spans="1:7" ht="16.5" x14ac:dyDescent="0.3">
      <c r="A2" s="8"/>
      <c r="B2" s="9"/>
      <c r="C2" s="4"/>
      <c r="D2" s="8"/>
      <c r="E2" s="4"/>
      <c r="F2" s="4"/>
      <c r="G2" s="10"/>
    </row>
    <row r="3" spans="1:7" ht="16.5" x14ac:dyDescent="0.3">
      <c r="A3" s="86" t="s">
        <v>0</v>
      </c>
      <c r="B3" s="86"/>
      <c r="C3" s="86"/>
      <c r="D3" s="86"/>
      <c r="E3" s="86"/>
      <c r="F3" s="86"/>
      <c r="G3" s="86"/>
    </row>
    <row r="4" spans="1:7" ht="16.5" x14ac:dyDescent="0.3">
      <c r="A4" s="86" t="s">
        <v>1</v>
      </c>
      <c r="B4" s="86"/>
      <c r="C4" s="86"/>
      <c r="D4" s="86"/>
      <c r="E4" s="86"/>
      <c r="F4" s="86"/>
      <c r="G4" s="86"/>
    </row>
    <row r="5" spans="1:7" ht="16.5" x14ac:dyDescent="0.3">
      <c r="A5" s="11"/>
      <c r="B5" s="5"/>
      <c r="C5" s="5"/>
      <c r="D5" s="5"/>
      <c r="E5" s="5"/>
      <c r="F5" s="5"/>
      <c r="G5" s="7"/>
    </row>
    <row r="6" spans="1:7" ht="16.5" x14ac:dyDescent="0.3">
      <c r="A6" s="87" t="s">
        <v>2</v>
      </c>
      <c r="B6" s="87"/>
      <c r="C6" s="87"/>
      <c r="D6" s="87"/>
      <c r="E6" s="87"/>
      <c r="F6" s="87"/>
      <c r="G6" s="87"/>
    </row>
    <row r="7" spans="1:7" ht="16.5" x14ac:dyDescent="0.3">
      <c r="A7" s="88" t="s">
        <v>3</v>
      </c>
      <c r="B7" s="88"/>
      <c r="C7" s="88"/>
      <c r="D7" s="88"/>
      <c r="E7" s="88"/>
      <c r="F7" s="88"/>
      <c r="G7" s="88"/>
    </row>
    <row r="8" spans="1:7" ht="17.25" customHeight="1" thickBot="1" x14ac:dyDescent="0.35">
      <c r="A8" s="12"/>
      <c r="B8" s="13"/>
      <c r="C8" s="14"/>
      <c r="D8" s="15"/>
      <c r="E8" s="14"/>
      <c r="F8" s="14"/>
      <c r="G8" s="16"/>
    </row>
    <row r="9" spans="1:7" ht="98.25" customHeight="1" x14ac:dyDescent="0.25">
      <c r="A9" s="17" t="s">
        <v>4</v>
      </c>
      <c r="B9" s="89" t="s">
        <v>178</v>
      </c>
      <c r="C9" s="90"/>
      <c r="D9" s="91"/>
      <c r="E9" s="18" t="s">
        <v>5</v>
      </c>
      <c r="F9" s="89" t="s">
        <v>177</v>
      </c>
      <c r="G9" s="91"/>
    </row>
    <row r="10" spans="1:7" ht="27.75" customHeight="1" x14ac:dyDescent="0.25">
      <c r="A10" s="19" t="s">
        <v>6</v>
      </c>
      <c r="B10" s="94" t="s">
        <v>7</v>
      </c>
      <c r="C10" s="94"/>
      <c r="D10" s="94"/>
      <c r="E10" s="20" t="s">
        <v>8</v>
      </c>
      <c r="F10" s="95" t="s">
        <v>9</v>
      </c>
      <c r="G10" s="95"/>
    </row>
    <row r="11" spans="1:7" ht="16.5" x14ac:dyDescent="0.3">
      <c r="A11" s="21" t="s">
        <v>10</v>
      </c>
      <c r="B11" s="96" t="s">
        <v>11</v>
      </c>
      <c r="C11" s="96"/>
      <c r="D11" s="96"/>
      <c r="E11" s="22" t="s">
        <v>12</v>
      </c>
      <c r="F11" s="97" t="s">
        <v>13</v>
      </c>
      <c r="G11" s="97"/>
    </row>
    <row r="12" spans="1:7" ht="16.5" x14ac:dyDescent="0.3">
      <c r="A12" s="21" t="s">
        <v>14</v>
      </c>
      <c r="B12" s="98">
        <v>45919</v>
      </c>
      <c r="C12" s="98"/>
      <c r="D12" s="98"/>
      <c r="E12" s="22" t="s">
        <v>15</v>
      </c>
      <c r="F12" s="23">
        <v>0</v>
      </c>
      <c r="G12" s="24" t="s">
        <v>16</v>
      </c>
    </row>
    <row r="13" spans="1:7" ht="16.5" x14ac:dyDescent="0.3">
      <c r="A13" s="21" t="s">
        <v>17</v>
      </c>
      <c r="B13" s="25"/>
      <c r="C13" s="23" t="s">
        <v>18</v>
      </c>
      <c r="D13" s="23" t="s">
        <v>19</v>
      </c>
      <c r="E13" s="26" t="s">
        <v>12</v>
      </c>
      <c r="F13" s="23" t="s">
        <v>19</v>
      </c>
      <c r="G13" s="24" t="s">
        <v>16</v>
      </c>
    </row>
    <row r="14" spans="1:7" ht="16.5" x14ac:dyDescent="0.3">
      <c r="A14" s="21" t="s">
        <v>20</v>
      </c>
      <c r="B14" s="27"/>
      <c r="C14" s="99" t="s">
        <v>21</v>
      </c>
      <c r="D14" s="99"/>
      <c r="E14" s="99"/>
      <c r="F14" s="93"/>
      <c r="G14" s="93"/>
    </row>
    <row r="15" spans="1:7" ht="17.25" thickBot="1" x14ac:dyDescent="0.35">
      <c r="A15" s="28"/>
      <c r="B15" s="29"/>
      <c r="C15" s="92" t="s">
        <v>22</v>
      </c>
      <c r="D15" s="92"/>
      <c r="E15" s="92"/>
      <c r="F15" s="93"/>
      <c r="G15" s="93"/>
    </row>
    <row r="16" spans="1:7" x14ac:dyDescent="0.25">
      <c r="A16" s="30"/>
      <c r="B16" s="31"/>
      <c r="C16" s="32"/>
      <c r="D16" s="33"/>
      <c r="E16" s="32"/>
      <c r="F16" s="32"/>
      <c r="G16" s="34"/>
    </row>
    <row r="17" spans="1:5" x14ac:dyDescent="0.25">
      <c r="A17" s="35" t="s">
        <v>23</v>
      </c>
      <c r="B17" s="36" t="s">
        <v>24</v>
      </c>
      <c r="C17" s="37" t="s">
        <v>25</v>
      </c>
      <c r="D17" s="38" t="s">
        <v>26</v>
      </c>
      <c r="E17" s="37" t="s">
        <v>27</v>
      </c>
    </row>
    <row r="19" spans="1:5" x14ac:dyDescent="0.25">
      <c r="A19" s="39" t="s">
        <v>28</v>
      </c>
      <c r="B19" s="75" t="s">
        <v>29</v>
      </c>
      <c r="C19" s="40"/>
      <c r="D19" s="41"/>
    </row>
    <row r="20" spans="1:5" ht="84" customHeight="1" x14ac:dyDescent="0.25">
      <c r="A20" s="42">
        <v>1.01</v>
      </c>
      <c r="B20" s="43" t="s">
        <v>30</v>
      </c>
      <c r="C20" s="44">
        <v>2</v>
      </c>
      <c r="D20" s="44" t="s">
        <v>31</v>
      </c>
    </row>
    <row r="21" spans="1:5" x14ac:dyDescent="0.25">
      <c r="A21" s="76"/>
      <c r="B21" s="76"/>
      <c r="C21" s="76"/>
      <c r="D21" s="76"/>
    </row>
    <row r="22" spans="1:5" x14ac:dyDescent="0.25">
      <c r="A22" s="39" t="s">
        <v>32</v>
      </c>
      <c r="B22" s="75" t="s">
        <v>33</v>
      </c>
      <c r="C22" s="40"/>
      <c r="D22" s="41"/>
    </row>
    <row r="23" spans="1:5" ht="123.75" customHeight="1" x14ac:dyDescent="0.25">
      <c r="A23" s="45">
        <v>2.0099999999999998</v>
      </c>
      <c r="B23" s="55" t="s">
        <v>167</v>
      </c>
      <c r="C23" s="46">
        <f>(52.3*0.45*0.1)*2</f>
        <v>4.7069999999999999</v>
      </c>
      <c r="D23" s="45" t="s">
        <v>34</v>
      </c>
    </row>
    <row r="24" spans="1:5" ht="123.75" customHeight="1" x14ac:dyDescent="0.25">
      <c r="A24" s="45">
        <f t="shared" ref="A24:A42" si="0">A23+0.01</f>
        <v>2.0199999999999996</v>
      </c>
      <c r="B24" s="55" t="s">
        <v>35</v>
      </c>
      <c r="C24" s="46">
        <f>(47.4*0.45*0.1)*2</f>
        <v>4.266</v>
      </c>
      <c r="D24" s="45" t="s">
        <v>34</v>
      </c>
    </row>
    <row r="25" spans="1:5" ht="123.75" customHeight="1" x14ac:dyDescent="0.25">
      <c r="A25" s="45">
        <f t="shared" si="0"/>
        <v>2.0299999999999994</v>
      </c>
      <c r="B25" s="55" t="s">
        <v>36</v>
      </c>
      <c r="C25" s="46">
        <f>(47.4*1*0.1)*2</f>
        <v>9.48</v>
      </c>
      <c r="D25" s="45" t="s">
        <v>34</v>
      </c>
    </row>
    <row r="26" spans="1:5" ht="123.75" customHeight="1" x14ac:dyDescent="0.25">
      <c r="A26" s="45">
        <f t="shared" si="0"/>
        <v>2.0399999999999991</v>
      </c>
      <c r="B26" s="55" t="s">
        <v>37</v>
      </c>
      <c r="C26" s="46">
        <f>(40.9*0.45*0.1)*2</f>
        <v>3.6810000000000005</v>
      </c>
      <c r="D26" s="45" t="s">
        <v>34</v>
      </c>
    </row>
    <row r="27" spans="1:5" ht="123.75" customHeight="1" x14ac:dyDescent="0.25">
      <c r="A27" s="45">
        <f t="shared" si="0"/>
        <v>2.0499999999999989</v>
      </c>
      <c r="B27" s="55" t="s">
        <v>168</v>
      </c>
      <c r="C27" s="46">
        <f xml:space="preserve"> (157.4*1*0.1)*2</f>
        <v>31.480000000000004</v>
      </c>
      <c r="D27" s="45" t="s">
        <v>34</v>
      </c>
    </row>
    <row r="28" spans="1:5" ht="123.75" customHeight="1" x14ac:dyDescent="0.25">
      <c r="A28" s="45">
        <f t="shared" si="0"/>
        <v>2.0599999999999987</v>
      </c>
      <c r="B28" s="55" t="s">
        <v>38</v>
      </c>
      <c r="C28" s="46">
        <f xml:space="preserve"> (157.4*0.45*0.1)*2</f>
        <v>14.166</v>
      </c>
      <c r="D28" s="45" t="s">
        <v>34</v>
      </c>
    </row>
    <row r="29" spans="1:5" ht="123.75" customHeight="1" x14ac:dyDescent="0.25">
      <c r="A29" s="45">
        <f t="shared" si="0"/>
        <v>2.0699999999999985</v>
      </c>
      <c r="B29" s="55" t="s">
        <v>169</v>
      </c>
      <c r="C29" s="46">
        <f xml:space="preserve"> (45.3*0.45*0.1)*2</f>
        <v>4.077</v>
      </c>
      <c r="D29" s="45" t="s">
        <v>34</v>
      </c>
    </row>
    <row r="30" spans="1:5" ht="123.75" customHeight="1" x14ac:dyDescent="0.25">
      <c r="A30" s="45">
        <f t="shared" si="0"/>
        <v>2.0799999999999983</v>
      </c>
      <c r="B30" s="55" t="s">
        <v>39</v>
      </c>
      <c r="C30" s="46">
        <f>(57.1*0.45*0.1)*2</f>
        <v>5.1390000000000002</v>
      </c>
      <c r="D30" s="45" t="s">
        <v>34</v>
      </c>
    </row>
    <row r="31" spans="1:5" ht="123.75" customHeight="1" x14ac:dyDescent="0.25">
      <c r="A31" s="45">
        <f t="shared" si="0"/>
        <v>2.0899999999999981</v>
      </c>
      <c r="B31" s="55" t="s">
        <v>40</v>
      </c>
      <c r="C31" s="46">
        <f>(76.4*0.45*0.1)*2</f>
        <v>6.8760000000000012</v>
      </c>
      <c r="D31" s="45" t="s">
        <v>34</v>
      </c>
    </row>
    <row r="32" spans="1:5" ht="123.75" customHeight="1" x14ac:dyDescent="0.25">
      <c r="A32" s="45">
        <f t="shared" si="0"/>
        <v>2.0999999999999979</v>
      </c>
      <c r="B32" s="55" t="s">
        <v>41</v>
      </c>
      <c r="C32" s="46">
        <f>(76.4*1*0.1)*2</f>
        <v>15.280000000000001</v>
      </c>
      <c r="D32" s="45" t="s">
        <v>34</v>
      </c>
    </row>
    <row r="33" spans="1:4" ht="123.75" customHeight="1" x14ac:dyDescent="0.25">
      <c r="A33" s="45">
        <f t="shared" si="0"/>
        <v>2.1099999999999977</v>
      </c>
      <c r="B33" s="55" t="s">
        <v>42</v>
      </c>
      <c r="C33" s="46">
        <f>(32.6*0.45*0.1)*2</f>
        <v>2.9340000000000006</v>
      </c>
      <c r="D33" s="45" t="s">
        <v>34</v>
      </c>
    </row>
    <row r="34" spans="1:4" ht="123.75" customHeight="1" x14ac:dyDescent="0.25">
      <c r="A34" s="45">
        <f t="shared" si="0"/>
        <v>2.1199999999999974</v>
      </c>
      <c r="B34" s="55" t="s">
        <v>43</v>
      </c>
      <c r="C34" s="46">
        <f>(40*0.45*0.1)*2</f>
        <v>3.6</v>
      </c>
      <c r="D34" s="45" t="s">
        <v>34</v>
      </c>
    </row>
    <row r="35" spans="1:4" ht="123.75" customHeight="1" x14ac:dyDescent="0.25">
      <c r="A35" s="45">
        <f t="shared" si="0"/>
        <v>2.1299999999999972</v>
      </c>
      <c r="B35" s="55" t="s">
        <v>44</v>
      </c>
      <c r="C35" s="46">
        <f>(40*1*0.1)*2</f>
        <v>8</v>
      </c>
      <c r="D35" s="45" t="s">
        <v>34</v>
      </c>
    </row>
    <row r="36" spans="1:4" ht="123.75" customHeight="1" x14ac:dyDescent="0.25">
      <c r="A36" s="45">
        <f t="shared" si="0"/>
        <v>2.139999999999997</v>
      </c>
      <c r="B36" s="55" t="s">
        <v>45</v>
      </c>
      <c r="C36" s="46">
        <f>(79.9*0.45*0.1)*2</f>
        <v>7.1910000000000016</v>
      </c>
      <c r="D36" s="45" t="s">
        <v>34</v>
      </c>
    </row>
    <row r="37" spans="1:4" ht="123.75" customHeight="1" x14ac:dyDescent="0.25">
      <c r="A37" s="45">
        <f t="shared" si="0"/>
        <v>2.1499999999999968</v>
      </c>
      <c r="B37" s="55" t="s">
        <v>46</v>
      </c>
      <c r="C37" s="46">
        <f>(79.9*1*0.1)*2</f>
        <v>15.980000000000002</v>
      </c>
      <c r="D37" s="45" t="s">
        <v>34</v>
      </c>
    </row>
    <row r="38" spans="1:4" ht="123.75" customHeight="1" x14ac:dyDescent="0.25">
      <c r="A38" s="45">
        <f t="shared" si="0"/>
        <v>2.1599999999999966</v>
      </c>
      <c r="B38" s="55" t="s">
        <v>47</v>
      </c>
      <c r="C38" s="46">
        <f>(98.5*0.45*0.1)*2</f>
        <v>8.8650000000000002</v>
      </c>
      <c r="D38" s="45" t="s">
        <v>34</v>
      </c>
    </row>
    <row r="39" spans="1:4" ht="123.75" customHeight="1" x14ac:dyDescent="0.25">
      <c r="A39" s="45">
        <f t="shared" si="0"/>
        <v>2.1699999999999964</v>
      </c>
      <c r="B39" s="55" t="s">
        <v>48</v>
      </c>
      <c r="C39" s="46">
        <f>(98.5*1*0.1)*2</f>
        <v>19.700000000000003</v>
      </c>
      <c r="D39" s="45" t="s">
        <v>34</v>
      </c>
    </row>
    <row r="40" spans="1:4" ht="123.75" customHeight="1" x14ac:dyDescent="0.25">
      <c r="A40" s="45">
        <f t="shared" si="0"/>
        <v>2.1799999999999962</v>
      </c>
      <c r="B40" s="55" t="s">
        <v>49</v>
      </c>
      <c r="C40" s="46">
        <f>(722.1*1*0.1)*2</f>
        <v>144.42000000000002</v>
      </c>
      <c r="D40" s="45" t="s">
        <v>34</v>
      </c>
    </row>
    <row r="41" spans="1:4" ht="123.75" customHeight="1" x14ac:dyDescent="0.25">
      <c r="A41" s="45">
        <f t="shared" si="0"/>
        <v>2.1899999999999959</v>
      </c>
      <c r="B41" s="55" t="s">
        <v>50</v>
      </c>
      <c r="C41" s="46">
        <f>(722.1*0.45*0.1)*2</f>
        <v>64.989000000000004</v>
      </c>
      <c r="D41" s="45" t="s">
        <v>34</v>
      </c>
    </row>
    <row r="42" spans="1:4" ht="123.75" customHeight="1" x14ac:dyDescent="0.25">
      <c r="A42" s="45">
        <f t="shared" si="0"/>
        <v>2.1999999999999957</v>
      </c>
      <c r="B42" s="55" t="s">
        <v>51</v>
      </c>
      <c r="C42" s="46">
        <v>48</v>
      </c>
      <c r="D42" s="45" t="s">
        <v>52</v>
      </c>
    </row>
    <row r="43" spans="1:4" x14ac:dyDescent="0.25">
      <c r="A43" s="77"/>
      <c r="B43" s="77"/>
      <c r="C43" s="77"/>
      <c r="D43" s="77"/>
    </row>
    <row r="44" spans="1:4" x14ac:dyDescent="0.25">
      <c r="A44" s="77"/>
      <c r="B44" s="77"/>
      <c r="C44" s="77"/>
      <c r="D44" s="77"/>
    </row>
    <row r="45" spans="1:4" ht="51" customHeight="1" x14ac:dyDescent="0.3">
      <c r="A45" s="75" t="s">
        <v>53</v>
      </c>
      <c r="B45" s="75" t="s">
        <v>54</v>
      </c>
      <c r="C45" s="47"/>
      <c r="D45" s="47"/>
    </row>
    <row r="46" spans="1:4" ht="105" customHeight="1" x14ac:dyDescent="0.25">
      <c r="A46" s="45">
        <v>3.01</v>
      </c>
      <c r="B46" s="48" t="s">
        <v>55</v>
      </c>
      <c r="C46" s="46">
        <f>(47.4*1*0.1)*2</f>
        <v>9.48</v>
      </c>
      <c r="D46" s="45" t="s">
        <v>34</v>
      </c>
    </row>
    <row r="47" spans="1:4" ht="105" customHeight="1" x14ac:dyDescent="0.25">
      <c r="A47" s="45">
        <f t="shared" ref="A47:A52" si="1">A46+0.01</f>
        <v>3.0199999999999996</v>
      </c>
      <c r="B47" s="48" t="s">
        <v>56</v>
      </c>
      <c r="C47" s="46">
        <f xml:space="preserve"> (157.4*1*0.1)*2</f>
        <v>31.480000000000004</v>
      </c>
      <c r="D47" s="45" t="s">
        <v>34</v>
      </c>
    </row>
    <row r="48" spans="1:4" ht="105" customHeight="1" x14ac:dyDescent="0.25">
      <c r="A48" s="45">
        <f t="shared" si="1"/>
        <v>3.0299999999999994</v>
      </c>
      <c r="B48" s="48" t="s">
        <v>57</v>
      </c>
      <c r="C48" s="46">
        <f>(76.4*1*0.1)*2</f>
        <v>15.280000000000001</v>
      </c>
      <c r="D48" s="45" t="s">
        <v>34</v>
      </c>
    </row>
    <row r="49" spans="1:4" ht="105" customHeight="1" x14ac:dyDescent="0.25">
      <c r="A49" s="45">
        <f t="shared" si="1"/>
        <v>3.0399999999999991</v>
      </c>
      <c r="B49" s="48" t="s">
        <v>58</v>
      </c>
      <c r="C49" s="46">
        <f>(40*1*0.1)*2</f>
        <v>8</v>
      </c>
      <c r="D49" s="45" t="s">
        <v>34</v>
      </c>
    </row>
    <row r="50" spans="1:4" ht="105" customHeight="1" x14ac:dyDescent="0.25">
      <c r="A50" s="49">
        <f t="shared" si="1"/>
        <v>3.0499999999999989</v>
      </c>
      <c r="B50" s="43" t="s">
        <v>59</v>
      </c>
      <c r="C50" s="44">
        <f>(79.9*1*0.1)*2</f>
        <v>15.980000000000002</v>
      </c>
      <c r="D50" s="49" t="s">
        <v>34</v>
      </c>
    </row>
    <row r="51" spans="1:4" ht="105" customHeight="1" x14ac:dyDescent="0.25">
      <c r="A51" s="49">
        <f t="shared" si="1"/>
        <v>3.0599999999999987</v>
      </c>
      <c r="B51" s="43" t="s">
        <v>60</v>
      </c>
      <c r="C51" s="44">
        <f>(98.5*1*0.1)*2</f>
        <v>19.700000000000003</v>
      </c>
      <c r="D51" s="49" t="s">
        <v>34</v>
      </c>
    </row>
    <row r="52" spans="1:4" ht="105" customHeight="1" x14ac:dyDescent="0.25">
      <c r="A52" s="49">
        <f t="shared" si="1"/>
        <v>3.0699999999999985</v>
      </c>
      <c r="B52" s="48" t="s">
        <v>61</v>
      </c>
      <c r="C52" s="46">
        <f>(722.1*1*0.1)*2</f>
        <v>144.42000000000002</v>
      </c>
      <c r="D52" s="45" t="s">
        <v>34</v>
      </c>
    </row>
    <row r="53" spans="1:4" x14ac:dyDescent="0.25">
      <c r="A53" s="76"/>
      <c r="B53" s="76"/>
      <c r="C53" s="76"/>
      <c r="D53" s="76"/>
    </row>
    <row r="54" spans="1:4" ht="39" customHeight="1" x14ac:dyDescent="0.25">
      <c r="A54" s="75" t="s">
        <v>62</v>
      </c>
      <c r="B54" s="75" t="s">
        <v>63</v>
      </c>
      <c r="C54" s="78"/>
      <c r="D54" s="78"/>
    </row>
    <row r="55" spans="1:4" ht="91.5" customHeight="1" x14ac:dyDescent="0.25">
      <c r="A55" s="45">
        <v>4.01</v>
      </c>
      <c r="B55" s="48" t="s">
        <v>64</v>
      </c>
      <c r="C55" s="46">
        <f>(52.3*0.45*0.1)*2</f>
        <v>4.7069999999999999</v>
      </c>
      <c r="D55" s="45" t="s">
        <v>34</v>
      </c>
    </row>
    <row r="56" spans="1:4" ht="91.5" customHeight="1" x14ac:dyDescent="0.25">
      <c r="A56" s="45">
        <f t="shared" ref="A56:A66" si="2">A55+0.01</f>
        <v>4.0199999999999996</v>
      </c>
      <c r="B56" s="48" t="s">
        <v>65</v>
      </c>
      <c r="C56" s="46">
        <f>(47.4*0.45*0.1)*2</f>
        <v>4.266</v>
      </c>
      <c r="D56" s="45" t="s">
        <v>34</v>
      </c>
    </row>
    <row r="57" spans="1:4" ht="91.5" customHeight="1" x14ac:dyDescent="0.25">
      <c r="A57" s="45">
        <f t="shared" si="2"/>
        <v>4.0299999999999994</v>
      </c>
      <c r="B57" s="48" t="s">
        <v>66</v>
      </c>
      <c r="C57" s="46">
        <f>(40.9*0.45*0.1)*2</f>
        <v>3.6810000000000005</v>
      </c>
      <c r="D57" s="45" t="s">
        <v>34</v>
      </c>
    </row>
    <row r="58" spans="1:4" ht="91.5" customHeight="1" x14ac:dyDescent="0.25">
      <c r="A58" s="45">
        <f t="shared" si="2"/>
        <v>4.0399999999999991</v>
      </c>
      <c r="B58" s="48" t="s">
        <v>67</v>
      </c>
      <c r="C58" s="46">
        <f xml:space="preserve"> (157.4*0.45*0.1)*2</f>
        <v>14.166</v>
      </c>
      <c r="D58" s="45" t="s">
        <v>34</v>
      </c>
    </row>
    <row r="59" spans="1:4" ht="91.5" customHeight="1" x14ac:dyDescent="0.25">
      <c r="A59" s="45">
        <f t="shared" si="2"/>
        <v>4.0499999999999989</v>
      </c>
      <c r="B59" s="48" t="s">
        <v>170</v>
      </c>
      <c r="C59" s="46">
        <f>(45.3*0.45*0.1)*2</f>
        <v>4.077</v>
      </c>
      <c r="D59" s="45" t="s">
        <v>34</v>
      </c>
    </row>
    <row r="60" spans="1:4" ht="91.5" customHeight="1" x14ac:dyDescent="0.25">
      <c r="A60" s="45">
        <f t="shared" si="2"/>
        <v>4.0599999999999987</v>
      </c>
      <c r="B60" s="48" t="s">
        <v>68</v>
      </c>
      <c r="C60" s="46">
        <f xml:space="preserve"> (57.1*0.45*0.1)*2</f>
        <v>5.1390000000000002</v>
      </c>
      <c r="D60" s="45" t="s">
        <v>34</v>
      </c>
    </row>
    <row r="61" spans="1:4" ht="91.5" customHeight="1" x14ac:dyDescent="0.25">
      <c r="A61" s="45">
        <f t="shared" si="2"/>
        <v>4.0699999999999985</v>
      </c>
      <c r="B61" s="48" t="s">
        <v>69</v>
      </c>
      <c r="C61" s="46">
        <f>(76.4*0.45*0.1)*2</f>
        <v>6.8760000000000012</v>
      </c>
      <c r="D61" s="45" t="s">
        <v>34</v>
      </c>
    </row>
    <row r="62" spans="1:4" ht="91.5" customHeight="1" x14ac:dyDescent="0.25">
      <c r="A62" s="45">
        <f t="shared" si="2"/>
        <v>4.0799999999999983</v>
      </c>
      <c r="B62" s="48" t="s">
        <v>171</v>
      </c>
      <c r="C62" s="46">
        <f>(32.6*1*0.1)*2</f>
        <v>6.5200000000000005</v>
      </c>
      <c r="D62" s="45" t="s">
        <v>34</v>
      </c>
    </row>
    <row r="63" spans="1:4" ht="91.5" customHeight="1" x14ac:dyDescent="0.25">
      <c r="A63" s="45">
        <f t="shared" si="2"/>
        <v>4.0899999999999981</v>
      </c>
      <c r="B63" s="48" t="s">
        <v>70</v>
      </c>
      <c r="C63" s="46">
        <f>(40*0.45*0.1)*2</f>
        <v>3.6</v>
      </c>
      <c r="D63" s="45" t="s">
        <v>34</v>
      </c>
    </row>
    <row r="64" spans="1:4" ht="91.5" customHeight="1" x14ac:dyDescent="0.25">
      <c r="A64" s="45">
        <f t="shared" si="2"/>
        <v>4.0999999999999979</v>
      </c>
      <c r="B64" s="48" t="s">
        <v>71</v>
      </c>
      <c r="C64" s="46">
        <f>(79.9*0.45*0.1)*2</f>
        <v>7.1910000000000016</v>
      </c>
      <c r="D64" s="45" t="s">
        <v>34</v>
      </c>
    </row>
    <row r="65" spans="1:4" ht="91.5" customHeight="1" x14ac:dyDescent="0.25">
      <c r="A65" s="45">
        <f t="shared" si="2"/>
        <v>4.1099999999999977</v>
      </c>
      <c r="B65" s="48" t="s">
        <v>72</v>
      </c>
      <c r="C65" s="46">
        <f>(98.5*0.45*0.1)*2</f>
        <v>8.8650000000000002</v>
      </c>
      <c r="D65" s="45" t="s">
        <v>34</v>
      </c>
    </row>
    <row r="66" spans="1:4" ht="91.5" customHeight="1" x14ac:dyDescent="0.25">
      <c r="A66" s="45">
        <f t="shared" si="2"/>
        <v>4.1199999999999974</v>
      </c>
      <c r="B66" s="48" t="s">
        <v>73</v>
      </c>
      <c r="C66" s="46">
        <f>(722.1*0.45*0.1)*2</f>
        <v>64.989000000000004</v>
      </c>
      <c r="D66" s="45" t="s">
        <v>34</v>
      </c>
    </row>
    <row r="67" spans="1:4" ht="53.25" customHeight="1" x14ac:dyDescent="0.25">
      <c r="A67" s="77"/>
      <c r="B67" s="77"/>
      <c r="C67" s="77"/>
      <c r="D67" s="77"/>
    </row>
    <row r="68" spans="1:4" ht="35.25" customHeight="1" x14ac:dyDescent="0.25">
      <c r="A68" s="75" t="s">
        <v>74</v>
      </c>
      <c r="B68" s="75" t="s">
        <v>75</v>
      </c>
      <c r="C68" s="78"/>
      <c r="D68" s="78"/>
    </row>
    <row r="69" spans="1:4" ht="81" customHeight="1" x14ac:dyDescent="0.25">
      <c r="A69" s="45">
        <v>5.01</v>
      </c>
      <c r="B69" s="48" t="s">
        <v>76</v>
      </c>
      <c r="C69" s="46">
        <f>(52.3*4.5*0.15)</f>
        <v>35.302499999999995</v>
      </c>
      <c r="D69" s="50" t="s">
        <v>34</v>
      </c>
    </row>
    <row r="70" spans="1:4" ht="81" customHeight="1" x14ac:dyDescent="0.25">
      <c r="A70" s="45">
        <f t="shared" ref="A70:A80" si="3">A69+0.01</f>
        <v>5.0199999999999996</v>
      </c>
      <c r="B70" s="48" t="s">
        <v>77</v>
      </c>
      <c r="C70" s="46">
        <f>(47.4*6*0.15)</f>
        <v>42.66</v>
      </c>
      <c r="D70" s="50" t="s">
        <v>34</v>
      </c>
    </row>
    <row r="71" spans="1:4" ht="81" customHeight="1" x14ac:dyDescent="0.25">
      <c r="A71" s="45">
        <f t="shared" si="3"/>
        <v>5.0299999999999994</v>
      </c>
      <c r="B71" s="48" t="s">
        <v>78</v>
      </c>
      <c r="C71" s="46">
        <f>(40.9*3.3*0.15)</f>
        <v>20.2455</v>
      </c>
      <c r="D71" s="50" t="s">
        <v>34</v>
      </c>
    </row>
    <row r="72" spans="1:4" ht="81" customHeight="1" x14ac:dyDescent="0.25">
      <c r="A72" s="45">
        <f t="shared" si="3"/>
        <v>5.0399999999999991</v>
      </c>
      <c r="B72" s="48" t="s">
        <v>79</v>
      </c>
      <c r="C72" s="46">
        <f>(157.4*7*0.15)</f>
        <v>165.26999999999998</v>
      </c>
      <c r="D72" s="50" t="s">
        <v>34</v>
      </c>
    </row>
    <row r="73" spans="1:4" ht="81" customHeight="1" x14ac:dyDescent="0.25">
      <c r="A73" s="45">
        <f t="shared" si="3"/>
        <v>5.0499999999999989</v>
      </c>
      <c r="B73" s="48" t="s">
        <v>80</v>
      </c>
      <c r="C73" s="46">
        <f>(45.3*5.5*0.15)</f>
        <v>37.372499999999995</v>
      </c>
      <c r="D73" s="50" t="s">
        <v>34</v>
      </c>
    </row>
    <row r="74" spans="1:4" ht="81" customHeight="1" x14ac:dyDescent="0.25">
      <c r="A74" s="45">
        <f t="shared" si="3"/>
        <v>5.0599999999999987</v>
      </c>
      <c r="B74" s="48" t="s">
        <v>172</v>
      </c>
      <c r="C74" s="46">
        <f xml:space="preserve"> (57.1*5*0.15)</f>
        <v>42.824999999999996</v>
      </c>
      <c r="D74" s="50" t="s">
        <v>34</v>
      </c>
    </row>
    <row r="75" spans="1:4" ht="81" customHeight="1" x14ac:dyDescent="0.25">
      <c r="A75" s="45">
        <f t="shared" si="3"/>
        <v>5.0699999999999985</v>
      </c>
      <c r="B75" s="48" t="s">
        <v>81</v>
      </c>
      <c r="C75" s="46">
        <f xml:space="preserve"> (76.4*7*0.15)</f>
        <v>80.220000000000013</v>
      </c>
      <c r="D75" s="50" t="s">
        <v>34</v>
      </c>
    </row>
    <row r="76" spans="1:4" ht="81" customHeight="1" x14ac:dyDescent="0.25">
      <c r="A76" s="45">
        <f t="shared" si="3"/>
        <v>5.0799999999999983</v>
      </c>
      <c r="B76" s="48" t="s">
        <v>82</v>
      </c>
      <c r="C76" s="46">
        <f>(32.6*5*0.15)</f>
        <v>24.45</v>
      </c>
      <c r="D76" s="50" t="s">
        <v>34</v>
      </c>
    </row>
    <row r="77" spans="1:4" ht="81" customHeight="1" x14ac:dyDescent="0.25">
      <c r="A77" s="45">
        <f t="shared" si="3"/>
        <v>5.0899999999999981</v>
      </c>
      <c r="B77" s="48" t="s">
        <v>83</v>
      </c>
      <c r="C77" s="46">
        <f>(40*7*0.15)</f>
        <v>42</v>
      </c>
      <c r="D77" s="50" t="s">
        <v>34</v>
      </c>
    </row>
    <row r="78" spans="1:4" ht="81" customHeight="1" x14ac:dyDescent="0.25">
      <c r="A78" s="45">
        <f t="shared" si="3"/>
        <v>5.0999999999999979</v>
      </c>
      <c r="B78" s="48" t="s">
        <v>84</v>
      </c>
      <c r="C78" s="46">
        <f>(79.9*5.5*0.15)</f>
        <v>65.917500000000004</v>
      </c>
      <c r="D78" s="50" t="s">
        <v>34</v>
      </c>
    </row>
    <row r="79" spans="1:4" ht="81" customHeight="1" x14ac:dyDescent="0.25">
      <c r="A79" s="45">
        <f t="shared" si="3"/>
        <v>5.1099999999999977</v>
      </c>
      <c r="B79" s="48" t="s">
        <v>85</v>
      </c>
      <c r="C79" s="46">
        <f>(98.5*6*0.15)</f>
        <v>88.649999999999991</v>
      </c>
      <c r="D79" s="50" t="s">
        <v>34</v>
      </c>
    </row>
    <row r="80" spans="1:4" ht="81" customHeight="1" x14ac:dyDescent="0.25">
      <c r="A80" s="45">
        <f t="shared" si="3"/>
        <v>5.1199999999999974</v>
      </c>
      <c r="B80" s="48" t="s">
        <v>86</v>
      </c>
      <c r="C80" s="46">
        <f>(722.1*7*0.15)</f>
        <v>758.20499999999993</v>
      </c>
      <c r="D80" s="50" t="s">
        <v>34</v>
      </c>
    </row>
    <row r="81" spans="1:4" ht="53.25" customHeight="1" x14ac:dyDescent="0.25">
      <c r="A81" s="76"/>
      <c r="B81" s="76"/>
      <c r="C81" s="76"/>
      <c r="D81" s="76"/>
    </row>
    <row r="82" spans="1:4" ht="32.25" customHeight="1" x14ac:dyDescent="0.25">
      <c r="A82" s="75" t="s">
        <v>87</v>
      </c>
      <c r="B82" s="75" t="s">
        <v>88</v>
      </c>
      <c r="C82" s="78"/>
      <c r="D82" s="78"/>
    </row>
    <row r="83" spans="1:4" ht="132.75" customHeight="1" x14ac:dyDescent="0.25">
      <c r="A83" s="45">
        <v>6.01</v>
      </c>
      <c r="B83" s="51" t="s">
        <v>89</v>
      </c>
      <c r="C83" s="46">
        <f>(50*4.5*0.15)</f>
        <v>33.75</v>
      </c>
      <c r="D83" s="52" t="s">
        <v>34</v>
      </c>
    </row>
    <row r="84" spans="1:4" ht="132.75" customHeight="1" x14ac:dyDescent="0.25">
      <c r="A84" s="45">
        <f t="shared" ref="A84:A93" si="4">A83+0.01</f>
        <v>6.02</v>
      </c>
      <c r="B84" s="51" t="s">
        <v>90</v>
      </c>
      <c r="C84" s="46">
        <f>(40*6*0.15)</f>
        <v>36</v>
      </c>
      <c r="D84" s="52" t="s">
        <v>34</v>
      </c>
    </row>
    <row r="85" spans="1:4" ht="132.75" customHeight="1" x14ac:dyDescent="0.25">
      <c r="A85" s="45">
        <f t="shared" si="4"/>
        <v>6.0299999999999994</v>
      </c>
      <c r="B85" s="51" t="s">
        <v>91</v>
      </c>
      <c r="C85" s="46">
        <f xml:space="preserve"> (40*3.3*0.15)</f>
        <v>19.8</v>
      </c>
      <c r="D85" s="52" t="s">
        <v>34</v>
      </c>
    </row>
    <row r="86" spans="1:4" ht="132.75" customHeight="1" x14ac:dyDescent="0.25">
      <c r="A86" s="45">
        <f t="shared" si="4"/>
        <v>6.0399999999999991</v>
      </c>
      <c r="B86" s="51" t="s">
        <v>92</v>
      </c>
      <c r="C86" s="46">
        <f>(100*7*0.15)</f>
        <v>105</v>
      </c>
      <c r="D86" s="52" t="s">
        <v>34</v>
      </c>
    </row>
    <row r="87" spans="1:4" ht="132.75" customHeight="1" x14ac:dyDescent="0.25">
      <c r="A87" s="45">
        <f t="shared" si="4"/>
        <v>6.0499999999999989</v>
      </c>
      <c r="B87" s="51" t="s">
        <v>93</v>
      </c>
      <c r="C87" s="46">
        <f>(45.3*5.5*0.15)</f>
        <v>37.372499999999995</v>
      </c>
      <c r="D87" s="52" t="s">
        <v>34</v>
      </c>
    </row>
    <row r="88" spans="1:4" ht="132.75" customHeight="1" x14ac:dyDescent="0.25">
      <c r="A88" s="45">
        <f t="shared" si="4"/>
        <v>6.0599999999999987</v>
      </c>
      <c r="B88" s="51" t="s">
        <v>94</v>
      </c>
      <c r="C88" s="46">
        <f>(57.1*5*0.15)</f>
        <v>42.824999999999996</v>
      </c>
      <c r="D88" s="52" t="s">
        <v>34</v>
      </c>
    </row>
    <row r="89" spans="1:4" ht="132.75" customHeight="1" x14ac:dyDescent="0.25">
      <c r="A89" s="45">
        <f t="shared" si="4"/>
        <v>6.0699999999999985</v>
      </c>
      <c r="B89" s="51" t="s">
        <v>95</v>
      </c>
      <c r="C89" s="46">
        <f>(64*7*0.15)</f>
        <v>67.2</v>
      </c>
      <c r="D89" s="52" t="s">
        <v>34</v>
      </c>
    </row>
    <row r="90" spans="1:4" ht="132.75" customHeight="1" x14ac:dyDescent="0.25">
      <c r="A90" s="45">
        <f t="shared" si="4"/>
        <v>6.0799999999999983</v>
      </c>
      <c r="B90" s="51" t="s">
        <v>173</v>
      </c>
      <c r="C90" s="46">
        <f>(32.6*5*0.15)</f>
        <v>24.45</v>
      </c>
      <c r="D90" s="52" t="s">
        <v>34</v>
      </c>
    </row>
    <row r="91" spans="1:4" ht="132.75" customHeight="1" x14ac:dyDescent="0.25">
      <c r="A91" s="45">
        <f t="shared" si="4"/>
        <v>6.0899999999999981</v>
      </c>
      <c r="B91" s="51" t="s">
        <v>96</v>
      </c>
      <c r="C91" s="46">
        <f>(40*7*0.15)</f>
        <v>42</v>
      </c>
      <c r="D91" s="52" t="s">
        <v>34</v>
      </c>
    </row>
    <row r="92" spans="1:4" ht="132.75" customHeight="1" x14ac:dyDescent="0.25">
      <c r="A92" s="45">
        <f t="shared" si="4"/>
        <v>6.0999999999999979</v>
      </c>
      <c r="B92" s="51" t="s">
        <v>97</v>
      </c>
      <c r="C92" s="46">
        <f>(70*5.5*0.15)</f>
        <v>57.75</v>
      </c>
      <c r="D92" s="52" t="s">
        <v>34</v>
      </c>
    </row>
    <row r="93" spans="1:4" ht="132.75" customHeight="1" x14ac:dyDescent="0.25">
      <c r="A93" s="45">
        <f t="shared" si="4"/>
        <v>6.1099999999999977</v>
      </c>
      <c r="B93" s="51" t="s">
        <v>98</v>
      </c>
      <c r="C93" s="46">
        <f>(82*6*0.15)</f>
        <v>73.8</v>
      </c>
      <c r="D93" s="52" t="s">
        <v>34</v>
      </c>
    </row>
    <row r="94" spans="1:4" ht="132.75" customHeight="1" x14ac:dyDescent="0.25">
      <c r="A94" s="45">
        <v>6.01</v>
      </c>
      <c r="B94" s="51" t="s">
        <v>174</v>
      </c>
      <c r="C94" s="46">
        <f>(500*7*0.15)</f>
        <v>525</v>
      </c>
      <c r="D94" s="52" t="s">
        <v>34</v>
      </c>
    </row>
    <row r="95" spans="1:4" ht="53.25" customHeight="1" x14ac:dyDescent="0.25">
      <c r="A95" s="76"/>
      <c r="B95" s="76"/>
      <c r="C95" s="76"/>
      <c r="D95" s="76"/>
    </row>
    <row r="96" spans="1:4" ht="41.25" customHeight="1" x14ac:dyDescent="0.25">
      <c r="A96" s="75" t="s">
        <v>99</v>
      </c>
      <c r="B96" s="75" t="s">
        <v>100</v>
      </c>
      <c r="C96" s="78"/>
      <c r="D96" s="78"/>
    </row>
    <row r="97" spans="1:4" ht="98.25" customHeight="1" x14ac:dyDescent="0.25">
      <c r="A97" s="45">
        <v>7.01</v>
      </c>
      <c r="B97" s="48" t="s">
        <v>101</v>
      </c>
      <c r="C97" s="46">
        <f>(52.3*0.45*0.1)*2+(53.2*4.5*0.15)</f>
        <v>40.616999999999997</v>
      </c>
      <c r="D97" s="50" t="s">
        <v>34</v>
      </c>
    </row>
    <row r="98" spans="1:4" ht="98.25" customHeight="1" x14ac:dyDescent="0.25">
      <c r="A98" s="45">
        <f t="shared" ref="A98:A108" si="5">A97+0.01</f>
        <v>7.02</v>
      </c>
      <c r="B98" s="48" t="s">
        <v>102</v>
      </c>
      <c r="C98" s="46">
        <f>(47.4*6*0.15)+(47.4*1*0.1)*2+(47.4*0.45*0.1)*2</f>
        <v>56.405999999999999</v>
      </c>
      <c r="D98" s="50" t="s">
        <v>34</v>
      </c>
    </row>
    <row r="99" spans="1:4" ht="98.25" customHeight="1" x14ac:dyDescent="0.25">
      <c r="A99" s="45">
        <f t="shared" si="5"/>
        <v>7.0299999999999994</v>
      </c>
      <c r="B99" s="48" t="s">
        <v>103</v>
      </c>
      <c r="C99" s="46">
        <f xml:space="preserve"> (40.9*0.45*0.1)*2+(40.9*3.5*0.15)</f>
        <v>25.153500000000001</v>
      </c>
      <c r="D99" s="50" t="s">
        <v>34</v>
      </c>
    </row>
    <row r="100" spans="1:4" ht="138" customHeight="1" x14ac:dyDescent="0.25">
      <c r="A100" s="45">
        <f t="shared" si="5"/>
        <v>7.0399999999999991</v>
      </c>
      <c r="B100" s="48" t="s">
        <v>104</v>
      </c>
      <c r="C100" s="46">
        <f>(157.4*7*0.15)*2+(157.4*0.45*0.1)*2+(157.4*1*0.1)*2</f>
        <v>376.18599999999998</v>
      </c>
      <c r="D100" s="50" t="s">
        <v>34</v>
      </c>
    </row>
    <row r="101" spans="1:4" ht="98.25" customHeight="1" x14ac:dyDescent="0.25">
      <c r="A101" s="45">
        <f t="shared" si="5"/>
        <v>7.0499999999999989</v>
      </c>
      <c r="B101" s="48" t="s">
        <v>105</v>
      </c>
      <c r="C101" s="46">
        <f xml:space="preserve"> (45.3*5.5*0.15)+(45.3*0.45*0.15)</f>
        <v>40.430249999999994</v>
      </c>
      <c r="D101" s="50" t="s">
        <v>34</v>
      </c>
    </row>
    <row r="102" spans="1:4" ht="114" customHeight="1" x14ac:dyDescent="0.25">
      <c r="A102" s="45">
        <f t="shared" si="5"/>
        <v>7.0599999999999987</v>
      </c>
      <c r="B102" s="48" t="s">
        <v>106</v>
      </c>
      <c r="C102" s="46">
        <f xml:space="preserve"> (57.1*5*0.15)+(57.1*0.45*0.1)*2</f>
        <v>47.963999999999999</v>
      </c>
      <c r="D102" s="50" t="s">
        <v>34</v>
      </c>
    </row>
    <row r="103" spans="1:4" ht="111.75" customHeight="1" x14ac:dyDescent="0.25">
      <c r="A103" s="45">
        <f t="shared" si="5"/>
        <v>7.0699999999999985</v>
      </c>
      <c r="B103" s="48" t="s">
        <v>107</v>
      </c>
      <c r="C103" s="46">
        <f>(76.4*7*0.15)+(76.4*1*0.1)*2+(76.4*0.45*0.1)*2</f>
        <v>102.37600000000002</v>
      </c>
      <c r="D103" s="50" t="s">
        <v>34</v>
      </c>
    </row>
    <row r="104" spans="1:4" ht="98.25" customHeight="1" x14ac:dyDescent="0.25">
      <c r="A104" s="45">
        <f t="shared" si="5"/>
        <v>7.0799999999999983</v>
      </c>
      <c r="B104" s="48" t="s">
        <v>108</v>
      </c>
      <c r="C104" s="46">
        <f>(32.6*5*0.15)+(32.6*0.45*0.1)</f>
        <v>25.916999999999998</v>
      </c>
      <c r="D104" s="50" t="s">
        <v>34</v>
      </c>
    </row>
    <row r="105" spans="1:4" ht="98.25" customHeight="1" x14ac:dyDescent="0.25">
      <c r="A105" s="45">
        <f t="shared" si="5"/>
        <v>7.0899999999999981</v>
      </c>
      <c r="B105" s="48" t="s">
        <v>109</v>
      </c>
      <c r="C105" s="46">
        <f>(40*7*0.15)+(40*0.45*0.1)*2+(40*1*0.1)*2</f>
        <v>53.6</v>
      </c>
      <c r="D105" s="50" t="s">
        <v>34</v>
      </c>
    </row>
    <row r="106" spans="1:4" ht="98.25" customHeight="1" x14ac:dyDescent="0.25">
      <c r="A106" s="45">
        <f t="shared" si="5"/>
        <v>7.0999999999999979</v>
      </c>
      <c r="B106" s="48" t="s">
        <v>110</v>
      </c>
      <c r="C106" s="46">
        <f xml:space="preserve">  (30*5.5*0.15)+(30*0.45*0.1)*2+(30*1*0.1)*2</f>
        <v>33.450000000000003</v>
      </c>
      <c r="D106" s="50" t="s">
        <v>34</v>
      </c>
    </row>
    <row r="107" spans="1:4" ht="117" customHeight="1" x14ac:dyDescent="0.25">
      <c r="A107" s="45">
        <f t="shared" si="5"/>
        <v>7.1099999999999977</v>
      </c>
      <c r="B107" s="48" t="s">
        <v>111</v>
      </c>
      <c r="C107" s="46">
        <f xml:space="preserve"> (90.1*6*0.15)+(90.1*0.45*0.1)*2+(90.1*1*0.1)*2</f>
        <v>107.21899999999998</v>
      </c>
      <c r="D107" s="50" t="s">
        <v>34</v>
      </c>
    </row>
    <row r="108" spans="1:4" ht="133.5" customHeight="1" x14ac:dyDescent="0.25">
      <c r="A108" s="45">
        <f t="shared" si="5"/>
        <v>7.1199999999999974</v>
      </c>
      <c r="B108" s="48" t="s">
        <v>112</v>
      </c>
      <c r="C108" s="46">
        <f>(722.1*7*0.15)+(722.1*1*0.1)*2+(722.1*0.45*0.1)*2</f>
        <v>967.61400000000003</v>
      </c>
      <c r="D108" s="50" t="s">
        <v>34</v>
      </c>
    </row>
    <row r="109" spans="1:4" ht="53.25" customHeight="1" x14ac:dyDescent="0.25">
      <c r="A109" s="77"/>
      <c r="B109" s="77"/>
      <c r="C109" s="77"/>
      <c r="D109" s="79"/>
    </row>
    <row r="110" spans="1:4" ht="31.5" customHeight="1" x14ac:dyDescent="0.25">
      <c r="A110" s="75" t="s">
        <v>113</v>
      </c>
      <c r="B110" s="75" t="s">
        <v>114</v>
      </c>
      <c r="C110" s="78"/>
      <c r="D110" s="80"/>
    </row>
    <row r="111" spans="1:4" ht="99.75" customHeight="1" x14ac:dyDescent="0.25">
      <c r="A111" s="50">
        <v>8.01</v>
      </c>
      <c r="B111" s="48" t="s">
        <v>115</v>
      </c>
      <c r="C111" s="53">
        <f>(52.3)*2</f>
        <v>104.6</v>
      </c>
      <c r="D111" s="81" t="s">
        <v>116</v>
      </c>
    </row>
    <row r="112" spans="1:4" ht="99.75" customHeight="1" x14ac:dyDescent="0.25">
      <c r="A112" s="50">
        <f t="shared" ref="A112:A129" si="6">A111+0.01</f>
        <v>8.02</v>
      </c>
      <c r="B112" s="48" t="s">
        <v>117</v>
      </c>
      <c r="C112" s="53">
        <f>(47.4)*2</f>
        <v>94.8</v>
      </c>
      <c r="D112" s="50" t="s">
        <v>116</v>
      </c>
    </row>
    <row r="113" spans="1:4" ht="99.75" customHeight="1" x14ac:dyDescent="0.25">
      <c r="A113" s="50">
        <f t="shared" si="6"/>
        <v>8.0299999999999994</v>
      </c>
      <c r="B113" s="48" t="s">
        <v>118</v>
      </c>
      <c r="C113" s="53">
        <f>(40.9)*2</f>
        <v>81.8</v>
      </c>
      <c r="D113" s="50" t="s">
        <v>116</v>
      </c>
    </row>
    <row r="114" spans="1:4" ht="141.75" customHeight="1" x14ac:dyDescent="0.25">
      <c r="A114" s="50">
        <f t="shared" si="6"/>
        <v>8.0399999999999991</v>
      </c>
      <c r="B114" s="48" t="s">
        <v>119</v>
      </c>
      <c r="C114" s="53">
        <f>(157.4)*2</f>
        <v>314.8</v>
      </c>
      <c r="D114" s="50" t="s">
        <v>116</v>
      </c>
    </row>
    <row r="115" spans="1:4" ht="99.75" customHeight="1" x14ac:dyDescent="0.25">
      <c r="A115" s="50">
        <f t="shared" si="6"/>
        <v>8.0499999999999989</v>
      </c>
      <c r="B115" s="48" t="s">
        <v>120</v>
      </c>
      <c r="C115" s="53">
        <f>(45.3)*2</f>
        <v>90.6</v>
      </c>
      <c r="D115" s="50" t="s">
        <v>116</v>
      </c>
    </row>
    <row r="116" spans="1:4" ht="99.75" customHeight="1" x14ac:dyDescent="0.25">
      <c r="A116" s="50">
        <f t="shared" si="6"/>
        <v>8.0599999999999987</v>
      </c>
      <c r="B116" s="48" t="s">
        <v>121</v>
      </c>
      <c r="C116" s="53">
        <f>(32.6)*2</f>
        <v>65.2</v>
      </c>
      <c r="D116" s="50" t="s">
        <v>116</v>
      </c>
    </row>
    <row r="117" spans="1:4" ht="137.25" customHeight="1" x14ac:dyDescent="0.25">
      <c r="A117" s="50">
        <f t="shared" si="6"/>
        <v>8.0699999999999985</v>
      </c>
      <c r="B117" s="48" t="s">
        <v>122</v>
      </c>
      <c r="C117" s="53">
        <f>(57.1)*2</f>
        <v>114.2</v>
      </c>
      <c r="D117" s="50" t="s">
        <v>116</v>
      </c>
    </row>
    <row r="118" spans="1:4" ht="99.75" customHeight="1" x14ac:dyDescent="0.25">
      <c r="A118" s="50">
        <f t="shared" si="6"/>
        <v>8.0799999999999983</v>
      </c>
      <c r="B118" s="48" t="s">
        <v>123</v>
      </c>
      <c r="C118" s="53">
        <f>(76.4)*2</f>
        <v>152.80000000000001</v>
      </c>
      <c r="D118" s="50" t="s">
        <v>116</v>
      </c>
    </row>
    <row r="119" spans="1:4" ht="99.75" customHeight="1" x14ac:dyDescent="0.25">
      <c r="A119" s="50">
        <f t="shared" si="6"/>
        <v>8.0899999999999981</v>
      </c>
      <c r="B119" s="48" t="s">
        <v>124</v>
      </c>
      <c r="C119" s="53">
        <f>(40)*2</f>
        <v>80</v>
      </c>
      <c r="D119" s="50" t="s">
        <v>116</v>
      </c>
    </row>
    <row r="120" spans="1:4" ht="99.75" customHeight="1" x14ac:dyDescent="0.25">
      <c r="A120" s="50">
        <f t="shared" si="6"/>
        <v>8.0999999999999979</v>
      </c>
      <c r="B120" s="48" t="s">
        <v>125</v>
      </c>
      <c r="C120" s="53">
        <f>(79.9)*2</f>
        <v>159.80000000000001</v>
      </c>
      <c r="D120" s="50" t="s">
        <v>116</v>
      </c>
    </row>
    <row r="121" spans="1:4" ht="99.75" customHeight="1" x14ac:dyDescent="0.25">
      <c r="A121" s="50">
        <f t="shared" si="6"/>
        <v>8.1099999999999977</v>
      </c>
      <c r="B121" s="48" t="s">
        <v>126</v>
      </c>
      <c r="C121" s="53">
        <f>(98.5)*2</f>
        <v>197</v>
      </c>
      <c r="D121" s="50" t="s">
        <v>116</v>
      </c>
    </row>
    <row r="122" spans="1:4" ht="126.75" customHeight="1" x14ac:dyDescent="0.25">
      <c r="A122" s="50">
        <f t="shared" si="6"/>
        <v>8.1199999999999974</v>
      </c>
      <c r="B122" s="48" t="s">
        <v>127</v>
      </c>
      <c r="C122" s="53">
        <f>(722.1)*2</f>
        <v>1444.2</v>
      </c>
      <c r="D122" s="50" t="s">
        <v>116</v>
      </c>
    </row>
    <row r="123" spans="1:4" ht="99.75" customHeight="1" x14ac:dyDescent="0.25">
      <c r="A123" s="50">
        <f t="shared" si="6"/>
        <v>8.1299999999999972</v>
      </c>
      <c r="B123" s="54" t="s">
        <v>128</v>
      </c>
      <c r="C123" s="53">
        <f>(47.4*1)*2</f>
        <v>94.8</v>
      </c>
      <c r="D123" s="52" t="s">
        <v>129</v>
      </c>
    </row>
    <row r="124" spans="1:4" ht="99.75" customHeight="1" x14ac:dyDescent="0.25">
      <c r="A124" s="50">
        <f t="shared" si="6"/>
        <v>8.139999999999997</v>
      </c>
      <c r="B124" s="54" t="s">
        <v>130</v>
      </c>
      <c r="C124" s="53">
        <f>(157.4*1)*2</f>
        <v>314.8</v>
      </c>
      <c r="D124" s="52" t="s">
        <v>129</v>
      </c>
    </row>
    <row r="125" spans="1:4" ht="99.75" customHeight="1" x14ac:dyDescent="0.25">
      <c r="A125" s="50">
        <f t="shared" si="6"/>
        <v>8.1499999999999968</v>
      </c>
      <c r="B125" s="54" t="s">
        <v>131</v>
      </c>
      <c r="C125" s="53">
        <f>(76.4*1)*2</f>
        <v>152.80000000000001</v>
      </c>
      <c r="D125" s="52" t="s">
        <v>129</v>
      </c>
    </row>
    <row r="126" spans="1:4" ht="99.75" customHeight="1" x14ac:dyDescent="0.25">
      <c r="A126" s="50">
        <f t="shared" si="6"/>
        <v>8.1599999999999966</v>
      </c>
      <c r="B126" s="54" t="s">
        <v>175</v>
      </c>
      <c r="C126" s="53">
        <f>(40*1)*2</f>
        <v>80</v>
      </c>
      <c r="D126" s="52" t="s">
        <v>129</v>
      </c>
    </row>
    <row r="127" spans="1:4" ht="99.75" customHeight="1" x14ac:dyDescent="0.25">
      <c r="A127" s="50">
        <f t="shared" si="6"/>
        <v>8.1699999999999964</v>
      </c>
      <c r="B127" s="54" t="s">
        <v>132</v>
      </c>
      <c r="C127" s="53">
        <f>(79.9*1)*2</f>
        <v>159.80000000000001</v>
      </c>
      <c r="D127" s="52" t="s">
        <v>129</v>
      </c>
    </row>
    <row r="128" spans="1:4" ht="99.75" customHeight="1" x14ac:dyDescent="0.25">
      <c r="A128" s="50">
        <f t="shared" si="6"/>
        <v>8.1799999999999962</v>
      </c>
      <c r="B128" s="54" t="s">
        <v>133</v>
      </c>
      <c r="C128" s="53">
        <f>(98.5*1)*2</f>
        <v>197</v>
      </c>
      <c r="D128" s="52" t="s">
        <v>129</v>
      </c>
    </row>
    <row r="129" spans="1:4" ht="99.75" customHeight="1" x14ac:dyDescent="0.25">
      <c r="A129" s="50">
        <f t="shared" si="6"/>
        <v>8.1899999999999959</v>
      </c>
      <c r="B129" s="54" t="s">
        <v>134</v>
      </c>
      <c r="C129" s="53">
        <f xml:space="preserve"> (722.1*1)*2</f>
        <v>1444.2</v>
      </c>
      <c r="D129" s="52" t="s">
        <v>129</v>
      </c>
    </row>
    <row r="130" spans="1:4" ht="53.25" customHeight="1" x14ac:dyDescent="0.25">
      <c r="A130" s="76"/>
      <c r="B130" s="76"/>
      <c r="C130" s="76"/>
      <c r="D130" s="76"/>
    </row>
    <row r="131" spans="1:4" ht="53.25" customHeight="1" x14ac:dyDescent="0.25">
      <c r="A131" s="82" t="s">
        <v>135</v>
      </c>
      <c r="B131" s="82" t="s">
        <v>136</v>
      </c>
      <c r="C131" s="83"/>
      <c r="D131" s="83"/>
    </row>
    <row r="132" spans="1:4" ht="86.25" customHeight="1" x14ac:dyDescent="0.25">
      <c r="A132" s="45">
        <v>9.01</v>
      </c>
      <c r="B132" s="55" t="s">
        <v>137</v>
      </c>
      <c r="C132" s="45">
        <f>(52.3*4.5)</f>
        <v>235.35</v>
      </c>
      <c r="D132" s="45" t="s">
        <v>129</v>
      </c>
    </row>
    <row r="133" spans="1:4" ht="86.25" customHeight="1" x14ac:dyDescent="0.25">
      <c r="A133" s="45">
        <f t="shared" ref="A133:A143" si="7">A132+0.01</f>
        <v>9.02</v>
      </c>
      <c r="B133" s="55" t="s">
        <v>138</v>
      </c>
      <c r="C133" s="45">
        <f>(47.4*6)</f>
        <v>284.39999999999998</v>
      </c>
      <c r="D133" s="45" t="s">
        <v>129</v>
      </c>
    </row>
    <row r="134" spans="1:4" ht="86.25" customHeight="1" x14ac:dyDescent="0.25">
      <c r="A134" s="45">
        <f t="shared" si="7"/>
        <v>9.0299999999999994</v>
      </c>
      <c r="B134" s="55" t="s">
        <v>139</v>
      </c>
      <c r="C134" s="45">
        <f>(40.9*3.3)</f>
        <v>134.97</v>
      </c>
      <c r="D134" s="45" t="s">
        <v>129</v>
      </c>
    </row>
    <row r="135" spans="1:4" ht="113.25" customHeight="1" x14ac:dyDescent="0.25">
      <c r="A135" s="45">
        <f t="shared" si="7"/>
        <v>9.0399999999999991</v>
      </c>
      <c r="B135" s="55" t="s">
        <v>140</v>
      </c>
      <c r="C135" s="45">
        <f>(66.8*7)</f>
        <v>467.59999999999997</v>
      </c>
      <c r="D135" s="45" t="s">
        <v>129</v>
      </c>
    </row>
    <row r="136" spans="1:4" ht="86.25" customHeight="1" x14ac:dyDescent="0.25">
      <c r="A136" s="45">
        <f t="shared" si="7"/>
        <v>9.0499999999999989</v>
      </c>
      <c r="B136" s="55" t="s">
        <v>141</v>
      </c>
      <c r="C136" s="45">
        <f>(45.3*5.5)</f>
        <v>249.14999999999998</v>
      </c>
      <c r="D136" s="45" t="s">
        <v>129</v>
      </c>
    </row>
    <row r="137" spans="1:4" ht="86.25" customHeight="1" x14ac:dyDescent="0.25">
      <c r="A137" s="45">
        <f t="shared" si="7"/>
        <v>9.0599999999999987</v>
      </c>
      <c r="B137" s="55" t="s">
        <v>142</v>
      </c>
      <c r="C137" s="45">
        <f>(57.1*5)</f>
        <v>285.5</v>
      </c>
      <c r="D137" s="45" t="s">
        <v>129</v>
      </c>
    </row>
    <row r="138" spans="1:4" ht="86.25" customHeight="1" x14ac:dyDescent="0.25">
      <c r="A138" s="45">
        <f t="shared" si="7"/>
        <v>9.0699999999999985</v>
      </c>
      <c r="B138" s="55" t="s">
        <v>143</v>
      </c>
      <c r="C138" s="45">
        <f>(76.4*7)</f>
        <v>534.80000000000007</v>
      </c>
      <c r="D138" s="45" t="s">
        <v>129</v>
      </c>
    </row>
    <row r="139" spans="1:4" ht="86.25" customHeight="1" x14ac:dyDescent="0.25">
      <c r="A139" s="45">
        <f t="shared" si="7"/>
        <v>9.0799999999999983</v>
      </c>
      <c r="B139" s="55" t="s">
        <v>144</v>
      </c>
      <c r="C139" s="45">
        <f>(32.6*5)</f>
        <v>163</v>
      </c>
      <c r="D139" s="45" t="s">
        <v>129</v>
      </c>
    </row>
    <row r="140" spans="1:4" ht="86.25" customHeight="1" x14ac:dyDescent="0.25">
      <c r="A140" s="45">
        <f t="shared" si="7"/>
        <v>9.0899999999999981</v>
      </c>
      <c r="B140" s="55" t="s">
        <v>145</v>
      </c>
      <c r="C140" s="45">
        <f>(40*7)</f>
        <v>280</v>
      </c>
      <c r="D140" s="45" t="s">
        <v>129</v>
      </c>
    </row>
    <row r="141" spans="1:4" ht="86.25" customHeight="1" x14ac:dyDescent="0.25">
      <c r="A141" s="45">
        <f t="shared" si="7"/>
        <v>9.0999999999999979</v>
      </c>
      <c r="B141" s="55" t="s">
        <v>146</v>
      </c>
      <c r="C141" s="45">
        <f>(79.9*5.5)</f>
        <v>439.45000000000005</v>
      </c>
      <c r="D141" s="45" t="s">
        <v>129</v>
      </c>
    </row>
    <row r="142" spans="1:4" ht="122.25" customHeight="1" x14ac:dyDescent="0.25">
      <c r="A142" s="45">
        <f t="shared" si="7"/>
        <v>9.1099999999999977</v>
      </c>
      <c r="B142" s="55" t="s">
        <v>147</v>
      </c>
      <c r="C142" s="45">
        <f>(98.5*5.5)</f>
        <v>541.75</v>
      </c>
      <c r="D142" s="45" t="s">
        <v>129</v>
      </c>
    </row>
    <row r="143" spans="1:4" ht="86.25" customHeight="1" x14ac:dyDescent="0.25">
      <c r="A143" s="45">
        <f t="shared" si="7"/>
        <v>9.1199999999999974</v>
      </c>
      <c r="B143" s="55" t="s">
        <v>176</v>
      </c>
      <c r="C143" s="45">
        <f>(514*7)</f>
        <v>3598</v>
      </c>
      <c r="D143" s="45" t="s">
        <v>129</v>
      </c>
    </row>
    <row r="144" spans="1:4" ht="38.25" customHeight="1" x14ac:dyDescent="0.25">
      <c r="A144" s="77"/>
      <c r="B144" s="77"/>
      <c r="C144" s="77"/>
      <c r="D144" s="77"/>
    </row>
    <row r="145" spans="1:5" ht="37.5" customHeight="1" x14ac:dyDescent="0.25">
      <c r="A145" s="75" t="s">
        <v>148</v>
      </c>
      <c r="B145" s="75" t="s">
        <v>149</v>
      </c>
      <c r="C145" s="77"/>
      <c r="D145" s="77"/>
    </row>
    <row r="146" spans="1:5" ht="105" customHeight="1" x14ac:dyDescent="0.25">
      <c r="A146" s="45">
        <v>10.01</v>
      </c>
      <c r="B146" s="55" t="s">
        <v>150</v>
      </c>
      <c r="C146" s="45">
        <f>(30*2*2)</f>
        <v>120</v>
      </c>
      <c r="D146" s="45" t="s">
        <v>34</v>
      </c>
    </row>
    <row r="147" spans="1:5" ht="30.75" customHeight="1" x14ac:dyDescent="0.25">
      <c r="A147" s="76"/>
      <c r="B147" s="77"/>
      <c r="C147" s="77"/>
      <c r="D147" s="77"/>
    </row>
    <row r="148" spans="1:5" ht="34.5" customHeight="1" x14ac:dyDescent="0.25">
      <c r="A148" s="75" t="s">
        <v>151</v>
      </c>
      <c r="B148" s="75" t="s">
        <v>152</v>
      </c>
      <c r="C148" s="78"/>
      <c r="D148" s="78"/>
    </row>
    <row r="149" spans="1:5" ht="89.25" customHeight="1" x14ac:dyDescent="0.25">
      <c r="A149" s="56">
        <v>11.01</v>
      </c>
      <c r="B149" s="54" t="s">
        <v>153</v>
      </c>
      <c r="C149" s="57">
        <f>7*2</f>
        <v>14</v>
      </c>
      <c r="D149" s="58" t="s">
        <v>129</v>
      </c>
    </row>
    <row r="150" spans="1:5" ht="35.25" customHeight="1" x14ac:dyDescent="0.25">
      <c r="A150" s="84"/>
      <c r="B150" s="54"/>
      <c r="C150" s="57"/>
      <c r="D150" s="58"/>
    </row>
    <row r="151" spans="1:5" ht="29.25" customHeight="1" x14ac:dyDescent="0.25">
      <c r="A151" s="75" t="s">
        <v>154</v>
      </c>
      <c r="B151" s="75" t="s">
        <v>155</v>
      </c>
      <c r="C151" s="78"/>
      <c r="D151" s="78"/>
    </row>
    <row r="152" spans="1:5" ht="15.75" x14ac:dyDescent="0.25">
      <c r="A152" s="45">
        <v>12.01</v>
      </c>
      <c r="B152" s="55" t="s">
        <v>156</v>
      </c>
      <c r="C152" s="45">
        <v>1</v>
      </c>
      <c r="D152" s="58" t="s">
        <v>157</v>
      </c>
    </row>
    <row r="153" spans="1:5" ht="16.5" x14ac:dyDescent="0.3">
      <c r="A153" s="59"/>
      <c r="B153" s="85"/>
      <c r="C153" s="60"/>
      <c r="D153" s="45"/>
    </row>
    <row r="154" spans="1:5" ht="16.5" x14ac:dyDescent="0.3">
      <c r="A154" s="61" t="s">
        <v>158</v>
      </c>
      <c r="B154" s="62" t="s">
        <v>159</v>
      </c>
      <c r="C154" s="63"/>
      <c r="D154" s="64"/>
      <c r="E154" s="65"/>
    </row>
    <row r="155" spans="1:5" ht="33" x14ac:dyDescent="0.3">
      <c r="A155" s="66">
        <v>1</v>
      </c>
      <c r="B155" s="67" t="s">
        <v>160</v>
      </c>
      <c r="C155" s="68">
        <v>0.1</v>
      </c>
      <c r="D155" s="69">
        <v>10</v>
      </c>
      <c r="E155" s="70" t="s">
        <v>161</v>
      </c>
    </row>
    <row r="156" spans="1:5" ht="16.5" x14ac:dyDescent="0.3">
      <c r="A156" s="66">
        <f>A155+0.001</f>
        <v>1.0009999999999999</v>
      </c>
      <c r="B156" s="71" t="s">
        <v>162</v>
      </c>
      <c r="C156" s="68">
        <v>0.03</v>
      </c>
      <c r="D156" s="69">
        <v>3</v>
      </c>
      <c r="E156" s="70" t="s">
        <v>161</v>
      </c>
    </row>
    <row r="157" spans="1:5" ht="16.5" x14ac:dyDescent="0.3">
      <c r="A157" s="66">
        <f>A156+0.001</f>
        <v>1.0019999999999998</v>
      </c>
      <c r="B157" s="71" t="s">
        <v>163</v>
      </c>
      <c r="C157" s="68">
        <v>2.5000000000000001E-2</v>
      </c>
      <c r="D157" s="69">
        <v>2.5</v>
      </c>
      <c r="E157" s="70" t="s">
        <v>161</v>
      </c>
    </row>
    <row r="158" spans="1:5" ht="33" x14ac:dyDescent="0.3">
      <c r="A158" s="66">
        <f>A157+0.001</f>
        <v>1.0029999999999997</v>
      </c>
      <c r="B158" s="67" t="s">
        <v>164</v>
      </c>
      <c r="C158" s="68">
        <v>0.01</v>
      </c>
      <c r="D158" s="69">
        <v>1</v>
      </c>
      <c r="E158" s="70" t="s">
        <v>161</v>
      </c>
    </row>
    <row r="159" spans="1:5" ht="49.5" x14ac:dyDescent="0.3">
      <c r="A159" s="66">
        <f>A158+0.001</f>
        <v>1.0039999999999996</v>
      </c>
      <c r="B159" s="67" t="s">
        <v>165</v>
      </c>
      <c r="C159" s="68">
        <v>1E-3</v>
      </c>
      <c r="D159" s="69">
        <v>0.1</v>
      </c>
      <c r="E159" s="70" t="s">
        <v>161</v>
      </c>
    </row>
    <row r="160" spans="1:5" ht="33" x14ac:dyDescent="0.3">
      <c r="A160" s="66">
        <v>1.0049999999999999</v>
      </c>
      <c r="B160" s="67" t="s">
        <v>166</v>
      </c>
      <c r="C160" s="68">
        <f>+D160/100</f>
        <v>0.18</v>
      </c>
      <c r="D160" s="69">
        <v>18</v>
      </c>
      <c r="E160" s="72" t="s">
        <v>161</v>
      </c>
    </row>
    <row r="161" spans="1:5" ht="16.5" x14ac:dyDescent="0.3">
      <c r="A161" s="66"/>
      <c r="B161" s="73"/>
      <c r="C161" s="68"/>
      <c r="D161" s="74"/>
      <c r="E161" s="70"/>
    </row>
  </sheetData>
  <mergeCells count="15">
    <mergeCell ref="C15:E15"/>
    <mergeCell ref="F15:G15"/>
    <mergeCell ref="B10:D10"/>
    <mergeCell ref="F10:G10"/>
    <mergeCell ref="B11:D11"/>
    <mergeCell ref="F11:G11"/>
    <mergeCell ref="B12:D12"/>
    <mergeCell ref="C14:E14"/>
    <mergeCell ref="F14:G14"/>
    <mergeCell ref="A3:G3"/>
    <mergeCell ref="A4:G4"/>
    <mergeCell ref="A6:G6"/>
    <mergeCell ref="A7:G7"/>
    <mergeCell ref="B9:D9"/>
    <mergeCell ref="F9:G9"/>
  </mergeCells>
  <pageMargins left="0.70866141732283472" right="0.70866141732283472" top="0.74803149606299213" bottom="0.74803149606299213" header="0.31496062992125984" footer="0.31496062992125984"/>
  <pageSetup scale="95" orientation="portrait" horizontalDpi="360" verticalDpi="36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SIN PRECIO</vt:lpstr>
      <vt:lpstr>'PRESUPUESTO SIN PRECIO'!Área_de_impresión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Rojas</dc:creator>
  <cp:lastModifiedBy>Sheila Martinez</cp:lastModifiedBy>
  <cp:lastPrinted>2025-09-22T16:15:56Z</cp:lastPrinted>
  <dcterms:created xsi:type="dcterms:W3CDTF">2025-09-11T06:19:39Z</dcterms:created>
  <dcterms:modified xsi:type="dcterms:W3CDTF">2025-10-02T18:45:11Z</dcterms:modified>
</cp:coreProperties>
</file>